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xr:revisionPtr revIDLastSave="0" documentId="8_{EBFBC2C9-2A1B-4B4A-804E-C45234823CA9}" xr6:coauthVersionLast="36" xr6:coauthVersionMax="36" xr10:uidLastSave="{00000000-0000-0000-0000-000000000000}"/>
  <bookViews>
    <workbookView xWindow="-105" yWindow="-105" windowWidth="23250" windowHeight="12720" tabRatio="756" xr2:uid="{00000000-000D-0000-FFFF-FFFF00000000}"/>
  </bookViews>
  <sheets>
    <sheet name="PLANNED EXPENSES" sheetId="2" r:id="rId1"/>
    <sheet name="EXPENSE ANALYSIS" sheetId="5" r:id="rId2"/>
  </sheets>
  <definedNames>
    <definedName name="_xlnm.Print_Area" localSheetId="1">'EXPENSE ANALYSIS'!$B$1:$F$38</definedName>
    <definedName name="worksheet_title">'PLANNED EXPENSES'!$K$2</definedName>
  </definedNames>
  <calcPr calcId="191029"/>
</workbook>
</file>

<file path=xl/calcChain.xml><?xml version="1.0" encoding="utf-8"?>
<calcChain xmlns="http://schemas.openxmlformats.org/spreadsheetml/2006/main">
  <c r="B9" i="5" l="1"/>
  <c r="C9" i="5"/>
  <c r="B2" i="5" l="1"/>
  <c r="D30" i="2" l="1"/>
  <c r="E30" i="2"/>
  <c r="F30" i="2"/>
  <c r="G30" i="2"/>
  <c r="H30" i="2"/>
  <c r="I30" i="2"/>
  <c r="J30" i="2"/>
  <c r="K30" i="2"/>
  <c r="L30" i="2"/>
  <c r="M30" i="2"/>
  <c r="N30" i="2"/>
  <c r="C30" i="2"/>
  <c r="D26" i="2"/>
  <c r="E26" i="2"/>
  <c r="F26" i="2"/>
  <c r="G26" i="2"/>
  <c r="H26" i="2"/>
  <c r="I26" i="2"/>
  <c r="J26" i="2"/>
  <c r="K26" i="2"/>
  <c r="L26" i="2"/>
  <c r="M26" i="2"/>
  <c r="N26" i="2"/>
  <c r="C26" i="2"/>
  <c r="D18" i="2"/>
  <c r="E18" i="2"/>
  <c r="F18" i="2"/>
  <c r="G18" i="2"/>
  <c r="H18" i="2"/>
  <c r="I18" i="2"/>
  <c r="J18" i="2"/>
  <c r="K18" i="2"/>
  <c r="L18" i="2"/>
  <c r="M18" i="2"/>
  <c r="N18" i="2"/>
  <c r="C18" i="2"/>
  <c r="B8" i="5" l="1"/>
  <c r="B7" i="5"/>
  <c r="B6" i="5"/>
  <c r="O29" i="2"/>
  <c r="O28" i="2"/>
  <c r="O30" i="2" s="1"/>
  <c r="O25" i="2"/>
  <c r="O24" i="2"/>
  <c r="O23" i="2"/>
  <c r="O22" i="2"/>
  <c r="O21" i="2"/>
  <c r="O20" i="2"/>
  <c r="O17" i="2"/>
  <c r="O16" i="2"/>
  <c r="O15" i="2"/>
  <c r="O14" i="2"/>
  <c r="O13" i="2"/>
  <c r="O12" i="2"/>
  <c r="O11" i="2"/>
  <c r="O10" i="2"/>
  <c r="N7" i="2"/>
  <c r="M7" i="2"/>
  <c r="L7" i="2"/>
  <c r="K7" i="2"/>
  <c r="J7" i="2"/>
  <c r="I7" i="2"/>
  <c r="H7" i="2"/>
  <c r="G7" i="2"/>
  <c r="F7" i="2"/>
  <c r="E7" i="2"/>
  <c r="D7" i="2"/>
  <c r="C7" i="2"/>
  <c r="O6" i="2"/>
  <c r="J8" i="2" l="1"/>
  <c r="J32" i="2" s="1"/>
  <c r="L8" i="2"/>
  <c r="L32" i="2" s="1"/>
  <c r="G8" i="2"/>
  <c r="G32" i="2" s="1"/>
  <c r="H8" i="2"/>
  <c r="H32" i="2" s="1"/>
  <c r="N8" i="2"/>
  <c r="N32" i="2" s="1"/>
  <c r="D8" i="2"/>
  <c r="D32" i="2" s="1"/>
  <c r="E8" i="2"/>
  <c r="E32" i="2" s="1"/>
  <c r="K8" i="2"/>
  <c r="K32" i="2" s="1"/>
  <c r="F8" i="2"/>
  <c r="F32" i="2" s="1"/>
  <c r="M8" i="2"/>
  <c r="M32" i="2" s="1"/>
  <c r="C8" i="2"/>
  <c r="C32" i="2" s="1"/>
  <c r="I8" i="2"/>
  <c r="I32" i="2" s="1"/>
  <c r="C8" i="5"/>
  <c r="O26" i="2"/>
  <c r="C7" i="5" s="1"/>
  <c r="O18" i="2"/>
  <c r="C6" i="5" s="1"/>
  <c r="O7" i="2"/>
  <c r="O8" i="2" s="1"/>
  <c r="C5" i="5" s="1"/>
  <c r="E33" i="2" l="1"/>
  <c r="D33" i="2"/>
  <c r="J33" i="2"/>
  <c r="O32" i="2"/>
  <c r="I33" i="2"/>
  <c r="C33" i="2"/>
  <c r="F33" i="2"/>
  <c r="K33" i="2"/>
  <c r="N33" i="2"/>
  <c r="H33" i="2"/>
  <c r="M33" i="2"/>
  <c r="L33" i="2"/>
  <c r="G33" i="2"/>
</calcChain>
</file>

<file path=xl/sharedStrings.xml><?xml version="1.0" encoding="utf-8"?>
<sst xmlns="http://schemas.openxmlformats.org/spreadsheetml/2006/main" count="118" uniqueCount="60">
  <si>
    <t>Planned Expenses</t>
  </si>
  <si>
    <t>Jan</t>
  </si>
  <si>
    <t>Feb</t>
  </si>
  <si>
    <t>Mar</t>
  </si>
  <si>
    <t>Apr</t>
  </si>
  <si>
    <t>May</t>
  </si>
  <si>
    <t>Jun</t>
  </si>
  <si>
    <t>Jul</t>
  </si>
  <si>
    <t>Aug</t>
  </si>
  <si>
    <t>Sep</t>
  </si>
  <si>
    <t>Oct</t>
  </si>
  <si>
    <t>Nov</t>
  </si>
  <si>
    <t>Dec</t>
  </si>
  <si>
    <t>YEAR</t>
  </si>
  <si>
    <t>Employee Costs</t>
  </si>
  <si>
    <t>Wages</t>
  </si>
  <si>
    <t>Benefits</t>
  </si>
  <si>
    <t>Subtotal</t>
  </si>
  <si>
    <t>Office Costs</t>
  </si>
  <si>
    <t>Office lease</t>
  </si>
  <si>
    <t>Gas</t>
  </si>
  <si>
    <t>Electric</t>
  </si>
  <si>
    <t>Water</t>
  </si>
  <si>
    <t>Telephone</t>
  </si>
  <si>
    <t>Internet access</t>
  </si>
  <si>
    <t>Office supplies</t>
  </si>
  <si>
    <t>Security</t>
  </si>
  <si>
    <t>Marketing Costs</t>
  </si>
  <si>
    <t>Web site hosting</t>
  </si>
  <si>
    <t>Web site updates</t>
  </si>
  <si>
    <t>Collateral preparation</t>
  </si>
  <si>
    <t>Collateral printing</t>
  </si>
  <si>
    <t>Marketing events</t>
  </si>
  <si>
    <t>Miscellaneous expenses</t>
  </si>
  <si>
    <t>Training/Travel</t>
  </si>
  <si>
    <t>Training classes</t>
  </si>
  <si>
    <t>Training-related travel costs</t>
  </si>
  <si>
    <t>TOTALS</t>
  </si>
  <si>
    <t>Monthly Planned Expenses</t>
  </si>
  <si>
    <t>TOTAL Planned Expenses</t>
  </si>
  <si>
    <t>Actual Expenses</t>
  </si>
  <si>
    <t>Expense Variances</t>
  </si>
  <si>
    <t>Expense Category</t>
  </si>
  <si>
    <t>Variance Percentage</t>
  </si>
  <si>
    <t xml:space="preserve"> </t>
  </si>
  <si>
    <t>PLANNED EXPENSES</t>
  </si>
  <si>
    <t>JAN</t>
  </si>
  <si>
    <t>FEB</t>
  </si>
  <si>
    <t>MAR</t>
  </si>
  <si>
    <t>APR</t>
  </si>
  <si>
    <t>MAY</t>
  </si>
  <si>
    <t>JUN</t>
  </si>
  <si>
    <t>JUL</t>
  </si>
  <si>
    <t>AUG</t>
  </si>
  <si>
    <t>SEPT</t>
  </si>
  <si>
    <t>OCT</t>
  </si>
  <si>
    <t>NOV</t>
  </si>
  <si>
    <t>DEC</t>
  </si>
  <si>
    <t>Year</t>
  </si>
  <si>
    <t>FINANCIAL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</si>
</sst>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quot;$&quot;#,##0.00_);[Red]\(&quot;$&quot;#,##0.00\)"/>
    <numFmt numFmtId="164" formatCode="_(&quot;$&quot;* #,##0_);_(&quot;$&quot;* \(#,##0\);_(&quot;$&quot;* &quot;-&quot;??_);_(@_)"/>
  </numFmts>
  <fonts count="19" x14ac:knownFonts="1">
    <font>
      <sz val="9"/>
      <color theme="1" tint="0.24994659260841701"/>
      <name val="Microsoft Sans Serif"/>
      <family val="2"/>
      <scheme val="minor"/>
    </font>
    <font>
      <b/>
      <sz val="22"/>
      <color theme="1" tint="0.24994659260841701"/>
      <name val="Franklin Gothic Book"/>
      <family val="2"/>
      <scheme val="major"/>
    </font>
    <font>
      <sz val="11"/>
      <color theme="1" tint="0.24994659260841701"/>
      <name val="Franklin Gothic Book"/>
      <family val="2"/>
      <scheme val="major"/>
    </font>
    <font>
      <b/>
      <sz val="10"/>
      <color theme="2"/>
      <name val="Franklin Gothic Book"/>
      <family val="2"/>
      <scheme val="major"/>
    </font>
    <font>
      <i/>
      <sz val="11"/>
      <color theme="3" tint="0.79998168889431442"/>
      <name val="Microsoft Sans Serif"/>
      <family val="2"/>
      <scheme val="minor"/>
    </font>
    <font>
      <b/>
      <sz val="16"/>
      <color theme="0"/>
      <name val="Franklin Gothic Book"/>
      <family val="2"/>
      <scheme val="major"/>
    </font>
    <font>
      <sz val="14"/>
      <color theme="1"/>
      <name val="Century Gothic"/>
      <family val="2"/>
    </font>
    <font>
      <b/>
      <sz val="36"/>
      <color theme="1"/>
      <name val="Century Gothic"/>
      <family val="2"/>
    </font>
    <font>
      <sz val="14"/>
      <color theme="3"/>
      <name val="Century Gothic"/>
      <family val="2"/>
    </font>
    <font>
      <sz val="9"/>
      <color theme="6" tint="0.39997558519241921"/>
      <name val="Century Gothic"/>
      <family val="2"/>
    </font>
    <font>
      <sz val="9"/>
      <color theme="1"/>
      <name val="Century Gothic"/>
      <family val="2"/>
    </font>
    <font>
      <sz val="9"/>
      <color theme="1" tint="0.24994659260841701"/>
      <name val="Century Gothic"/>
      <family val="2"/>
    </font>
    <font>
      <b/>
      <sz val="9"/>
      <color theme="1" tint="0.24994659260841701"/>
      <name val="Century Gothic"/>
      <family val="2"/>
    </font>
    <font>
      <b/>
      <sz val="16"/>
      <color theme="0"/>
      <name val="Century Gothic"/>
      <family val="2"/>
    </font>
    <font>
      <b/>
      <u/>
      <sz val="48"/>
      <color rgb="FF3F3352"/>
      <name val="Century Gothic"/>
      <family val="2"/>
    </font>
    <font>
      <b/>
      <sz val="16"/>
      <color theme="1"/>
      <name val="Century Gothic"/>
      <family val="2"/>
    </font>
    <font>
      <sz val="10"/>
      <color theme="1"/>
      <name val="Century Gothic"/>
      <family val="2"/>
    </font>
    <font>
      <sz val="11"/>
      <color theme="1"/>
      <name val="Century Gothic"/>
      <family val="2"/>
    </font>
    <font>
      <b/>
      <sz val="10"/>
      <color theme="0"/>
      <name val="Century Gothic"/>
      <family val="2"/>
    </font>
  </fonts>
  <fills count="8">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6" tint="0.39994506668294322"/>
        <bgColor indexed="64"/>
      </patternFill>
    </fill>
    <fill>
      <patternFill patternType="solid">
        <fgColor rgb="FF3F3352"/>
        <bgColor indexed="64"/>
      </patternFill>
    </fill>
    <fill>
      <patternFill patternType="solid">
        <fgColor rgb="FFF1EFF5"/>
        <bgColor indexed="64"/>
      </patternFill>
    </fill>
  </fills>
  <borders count="5">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rgb="FFAFA2C2"/>
      </left>
      <right/>
      <top style="medium">
        <color rgb="FFAFA2C2"/>
      </top>
      <bottom style="medium">
        <color rgb="FFAFA2C2"/>
      </bottom>
      <diagonal/>
    </border>
    <border>
      <left/>
      <right/>
      <top style="medium">
        <color rgb="FFAFA2C2"/>
      </top>
      <bottom style="medium">
        <color rgb="FFAFA2C2"/>
      </bottom>
      <diagonal/>
    </border>
    <border>
      <left/>
      <right style="medium">
        <color rgb="FFAFA2C2"/>
      </right>
      <top style="medium">
        <color rgb="FFAFA2C2"/>
      </top>
      <bottom style="medium">
        <color rgb="FFAFA2C2"/>
      </bottom>
      <diagonal/>
    </border>
  </borders>
  <cellStyleXfs count="6">
    <xf numFmtId="0" fontId="0" fillId="5" borderId="0"/>
    <xf numFmtId="0" fontId="1" fillId="0" borderId="0" applyNumberFormat="0" applyFill="0" applyProtection="0">
      <alignment vertical="center"/>
    </xf>
    <xf numFmtId="0" fontId="5" fillId="4" borderId="0" applyNumberFormat="0" applyProtection="0">
      <alignment vertical="center"/>
    </xf>
    <xf numFmtId="0" fontId="3" fillId="2" borderId="0" applyNumberFormat="0" applyProtection="0">
      <alignment vertical="center"/>
    </xf>
    <xf numFmtId="0" fontId="2" fillId="3" borderId="1" applyNumberFormat="0" applyProtection="0">
      <alignment horizontal="left" vertical="center" indent="1"/>
    </xf>
    <xf numFmtId="0" fontId="4" fillId="0" borderId="0" applyNumberFormat="0" applyFill="0" applyBorder="0" applyAlignment="0" applyProtection="0"/>
  </cellStyleXfs>
  <cellXfs count="41">
    <xf numFmtId="0" fontId="0" fillId="5" borderId="0" xfId="0"/>
    <xf numFmtId="0" fontId="6" fillId="0" borderId="0" xfId="0" applyFont="1" applyFill="1" applyAlignment="1">
      <alignment horizontal="left" vertical="top" wrapText="1" indent="1"/>
    </xf>
    <xf numFmtId="0" fontId="6" fillId="0" borderId="0" xfId="0" applyFont="1" applyFill="1" applyAlignment="1">
      <alignment horizontal="left" vertical="top" indent="1"/>
    </xf>
    <xf numFmtId="0" fontId="6" fillId="0" borderId="0" xfId="0" applyFont="1" applyFill="1"/>
    <xf numFmtId="0" fontId="7" fillId="0" borderId="0" xfId="1" applyFont="1" applyFill="1" applyAlignment="1">
      <alignment horizontal="center" vertical="top"/>
    </xf>
    <xf numFmtId="0" fontId="8" fillId="0" borderId="0" xfId="0" applyFont="1" applyFill="1"/>
    <xf numFmtId="0" fontId="9" fillId="0" borderId="0" xfId="0" applyFont="1" applyFill="1" applyAlignment="1">
      <alignment wrapText="1"/>
    </xf>
    <xf numFmtId="0" fontId="9" fillId="0" borderId="0" xfId="0" applyFont="1" applyFill="1"/>
    <xf numFmtId="0" fontId="11" fillId="0" borderId="0" xfId="0" applyFont="1" applyFill="1"/>
    <xf numFmtId="0" fontId="11" fillId="0" borderId="3" xfId="0" applyFont="1" applyFill="1" applyBorder="1"/>
    <xf numFmtId="0" fontId="11" fillId="0" borderId="4" xfId="0" applyFont="1" applyFill="1" applyBorder="1"/>
    <xf numFmtId="0" fontId="7" fillId="0" borderId="0" xfId="1" applyFont="1" applyFill="1" applyAlignment="1">
      <alignment horizontal="center" vertical="top"/>
    </xf>
    <xf numFmtId="0" fontId="13" fillId="6" borderId="2" xfId="3" applyFont="1" applyFill="1" applyBorder="1" applyAlignment="1">
      <alignment horizontal="center" vertical="center"/>
    </xf>
    <xf numFmtId="0" fontId="13" fillId="6" borderId="3" xfId="3" applyFont="1" applyFill="1" applyBorder="1" applyAlignment="1">
      <alignment horizontal="center" vertical="center"/>
    </xf>
    <xf numFmtId="164" fontId="13" fillId="6" borderId="3" xfId="3" applyNumberFormat="1" applyFont="1" applyFill="1" applyBorder="1" applyAlignment="1">
      <alignment horizontal="center" vertical="center"/>
    </xf>
    <xf numFmtId="0" fontId="13" fillId="6" borderId="4" xfId="3" applyFont="1" applyFill="1" applyBorder="1" applyAlignment="1">
      <alignment horizontal="center" vertical="center"/>
    </xf>
    <xf numFmtId="0" fontId="12" fillId="7" borderId="2" xfId="0" applyFont="1" applyFill="1" applyBorder="1" applyAlignment="1">
      <alignment vertical="center"/>
    </xf>
    <xf numFmtId="0" fontId="11" fillId="0" borderId="3" xfId="0" applyFont="1" applyFill="1" applyBorder="1" applyAlignment="1">
      <alignment vertical="center"/>
    </xf>
    <xf numFmtId="0" fontId="11" fillId="7" borderId="3" xfId="0" applyFont="1" applyFill="1" applyBorder="1" applyAlignment="1">
      <alignment vertical="center"/>
    </xf>
    <xf numFmtId="0" fontId="11" fillId="0" borderId="4" xfId="0" applyFont="1" applyFill="1" applyBorder="1" applyAlignment="1">
      <alignment vertical="center"/>
    </xf>
    <xf numFmtId="0" fontId="14" fillId="0" borderId="0" xfId="1" applyFont="1" applyFill="1" applyAlignment="1">
      <alignment horizontal="center" vertical="center"/>
    </xf>
    <xf numFmtId="0" fontId="6" fillId="0" borderId="0" xfId="0" applyFont="1" applyFill="1" applyAlignment="1">
      <alignment horizontal="left" vertical="top" wrapText="1"/>
    </xf>
    <xf numFmtId="0" fontId="15" fillId="0" borderId="0" xfId="2" applyFont="1" applyFill="1" applyAlignment="1">
      <alignment horizontal="center" wrapText="1"/>
    </xf>
    <xf numFmtId="0" fontId="10" fillId="0" borderId="0" xfId="0" applyFont="1" applyFill="1" applyAlignment="1">
      <alignment wrapText="1"/>
    </xf>
    <xf numFmtId="0" fontId="10" fillId="0" borderId="0" xfId="0" applyFont="1" applyFill="1"/>
    <xf numFmtId="0" fontId="6" fillId="0" borderId="0" xfId="0" applyFont="1" applyFill="1" applyAlignment="1">
      <alignment wrapText="1"/>
    </xf>
    <xf numFmtId="0" fontId="16" fillId="0" borderId="0" xfId="0" applyFont="1" applyFill="1"/>
    <xf numFmtId="0" fontId="17" fillId="0" borderId="0" xfId="0" applyFont="1" applyFill="1" applyAlignment="1">
      <alignment vertical="center" wrapText="1"/>
    </xf>
    <xf numFmtId="0" fontId="10" fillId="0" borderId="0" xfId="0" applyFont="1" applyFill="1" applyAlignment="1">
      <alignment horizontal="left" indent="1"/>
    </xf>
    <xf numFmtId="8" fontId="10" fillId="0" borderId="0" xfId="0" applyNumberFormat="1" applyFont="1" applyFill="1" applyAlignment="1">
      <alignment horizontal="right"/>
    </xf>
    <xf numFmtId="9" fontId="10" fillId="0" borderId="0" xfId="0" applyNumberFormat="1" applyFont="1" applyFill="1" applyAlignment="1">
      <alignment horizontal="right"/>
    </xf>
    <xf numFmtId="0" fontId="16" fillId="0" borderId="0" xfId="0" applyFont="1" applyFill="1" applyAlignment="1">
      <alignment horizontal="center"/>
    </xf>
    <xf numFmtId="0" fontId="16" fillId="0" borderId="0" xfId="0" applyFont="1" applyFill="1" applyAlignment="1">
      <alignment horizontal="left"/>
    </xf>
    <xf numFmtId="0" fontId="16" fillId="0" borderId="0" xfId="0" applyFont="1" applyFill="1" applyAlignment="1">
      <alignment horizontal="center"/>
    </xf>
    <xf numFmtId="0" fontId="16" fillId="0" borderId="0" xfId="0" applyFont="1" applyFill="1" applyAlignment="1">
      <alignment horizontal="left" indent="1"/>
    </xf>
    <xf numFmtId="0" fontId="18" fillId="6" borderId="0" xfId="3" applyFont="1" applyFill="1" applyAlignment="1">
      <alignment horizontal="left" vertical="center" indent="2"/>
    </xf>
    <xf numFmtId="0" fontId="10" fillId="0" borderId="2" xfId="0" applyFont="1" applyFill="1" applyBorder="1" applyAlignment="1">
      <alignment horizontal="left" vertical="center" indent="1"/>
    </xf>
    <xf numFmtId="8" fontId="10" fillId="0" borderId="3" xfId="0" applyNumberFormat="1" applyFont="1" applyFill="1" applyBorder="1" applyAlignment="1">
      <alignment horizontal="right" vertical="center" indent="2"/>
    </xf>
    <xf numFmtId="9" fontId="10" fillId="0" borderId="4" xfId="0" applyNumberFormat="1" applyFont="1" applyFill="1" applyBorder="1" applyAlignment="1">
      <alignment horizontal="right" vertical="center" indent="2"/>
    </xf>
    <xf numFmtId="0" fontId="10" fillId="0" borderId="2" xfId="0" applyFont="1" applyFill="1" applyBorder="1" applyAlignment="1">
      <alignment horizontal="left" vertical="center" indent="2"/>
    </xf>
    <xf numFmtId="0" fontId="11" fillId="0" borderId="2" xfId="0" applyFont="1" applyFill="1" applyBorder="1"/>
  </cellXfs>
  <cellStyles count="6">
    <cellStyle name="Explanatory Text" xfId="5" builtinId="53"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155">
    <dxf>
      <font>
        <b val="0"/>
        <i val="0"/>
        <strike val="0"/>
        <condense val="0"/>
        <extend val="0"/>
        <outline val="0"/>
        <shadow val="0"/>
        <u val="none"/>
        <vertAlign val="baseline"/>
        <sz val="9"/>
        <color theme="1"/>
        <name val="Century Gothic"/>
        <family val="2"/>
        <scheme val="none"/>
      </font>
      <numFmt numFmtId="13" formatCode="0%"/>
      <fill>
        <patternFill patternType="none">
          <fgColor indexed="64"/>
          <bgColor auto="1"/>
        </patternFill>
      </fill>
      <alignment horizontal="right" vertical="center" textRotation="0" wrapText="0" indent="2" justifyLastLine="0" shrinkToFit="0" readingOrder="0"/>
      <border diagonalUp="0" diagonalDown="0">
        <left/>
        <right style="medium">
          <color rgb="FFAFA2C2"/>
        </right>
        <top style="medium">
          <color rgb="FFAFA2C2"/>
        </top>
        <bottom style="medium">
          <color rgb="FFAFA2C2"/>
        </bottom>
        <vertical/>
        <horizontal style="medium">
          <color rgb="FFAFA2C2"/>
        </horizontal>
      </border>
    </dxf>
    <dxf>
      <font>
        <b val="0"/>
        <i val="0"/>
        <strike val="0"/>
        <condense val="0"/>
        <extend val="0"/>
        <outline val="0"/>
        <shadow val="0"/>
        <u val="none"/>
        <vertAlign val="baseline"/>
        <sz val="9"/>
        <color theme="1"/>
        <name val="Century Gothic"/>
        <family val="2"/>
        <scheme val="none"/>
      </font>
      <numFmt numFmtId="12" formatCode="&quot;$&quot;#,##0.00_);[Red]\(&quot;$&quot;#,##0.00\)"/>
      <fill>
        <patternFill patternType="none">
          <fgColor indexed="64"/>
          <bgColor auto="1"/>
        </patternFill>
      </fill>
      <alignment horizontal="right" vertical="center" textRotation="0" wrapText="0" indent="2" justifyLastLine="0" shrinkToFit="0" readingOrder="0"/>
      <border diagonalUp="0" diagonalDown="0">
        <left/>
        <right/>
        <top style="medium">
          <color rgb="FFAFA2C2"/>
        </top>
        <bottom style="medium">
          <color rgb="FFAFA2C2"/>
        </bottom>
        <vertical/>
        <horizontal style="medium">
          <color rgb="FFAFA2C2"/>
        </horizontal>
      </border>
    </dxf>
    <dxf>
      <font>
        <b val="0"/>
        <i val="0"/>
        <strike val="0"/>
        <condense val="0"/>
        <extend val="0"/>
        <outline val="0"/>
        <shadow val="0"/>
        <u val="none"/>
        <vertAlign val="baseline"/>
        <sz val="9"/>
        <color theme="1"/>
        <name val="Century Gothic"/>
        <family val="2"/>
        <scheme val="none"/>
      </font>
      <numFmt numFmtId="12" formatCode="&quot;$&quot;#,##0.00_);[Red]\(&quot;$&quot;#,##0.00\)"/>
      <fill>
        <patternFill patternType="none">
          <fgColor indexed="64"/>
          <bgColor auto="1"/>
        </patternFill>
      </fill>
      <alignment horizontal="right" vertical="center" textRotation="0" wrapText="0" indent="2" justifyLastLine="0" shrinkToFit="0" readingOrder="0"/>
      <border diagonalUp="0" diagonalDown="0">
        <left/>
        <right/>
        <top style="medium">
          <color rgb="FFAFA2C2"/>
        </top>
        <bottom style="medium">
          <color rgb="FFAFA2C2"/>
        </bottom>
        <vertical/>
        <horizontal style="medium">
          <color rgb="FFAFA2C2"/>
        </horizontal>
      </border>
    </dxf>
    <dxf>
      <font>
        <b val="0"/>
        <i val="0"/>
        <strike val="0"/>
        <condense val="0"/>
        <extend val="0"/>
        <outline val="0"/>
        <shadow val="0"/>
        <u val="none"/>
        <vertAlign val="baseline"/>
        <sz val="9"/>
        <color theme="1"/>
        <name val="Century Gothic"/>
        <family val="2"/>
        <scheme val="none"/>
      </font>
      <numFmt numFmtId="12" formatCode="&quot;$&quot;#,##0.00_);[Red]\(&quot;$&quot;#,##0.00\)"/>
      <fill>
        <patternFill patternType="none">
          <fgColor indexed="64"/>
          <bgColor auto="1"/>
        </patternFill>
      </fill>
      <alignment horizontal="right" vertical="center" textRotation="0" wrapText="0" indent="2" justifyLastLine="0" shrinkToFit="0" readingOrder="0"/>
      <border diagonalUp="0" diagonalDown="0">
        <left/>
        <right/>
        <top style="medium">
          <color rgb="FFAFA2C2"/>
        </top>
        <bottom style="medium">
          <color rgb="FFAFA2C2"/>
        </bottom>
        <vertical/>
        <horizontal style="medium">
          <color rgb="FFAFA2C2"/>
        </horizontal>
      </border>
    </dxf>
    <dxf>
      <font>
        <b val="0"/>
        <i val="0"/>
        <strike val="0"/>
        <condense val="0"/>
        <extend val="0"/>
        <outline val="0"/>
        <shadow val="0"/>
        <u val="none"/>
        <vertAlign val="baseline"/>
        <sz val="9"/>
        <color theme="1"/>
        <name val="Century Gothic"/>
        <family val="2"/>
        <scheme val="none"/>
      </font>
      <numFmt numFmtId="0" formatCode="General"/>
      <fill>
        <patternFill patternType="none">
          <fgColor indexed="64"/>
          <bgColor auto="1"/>
        </patternFill>
      </fill>
      <alignment horizontal="left" vertical="center" textRotation="0" wrapText="0" indent="2" justifyLastLine="0" shrinkToFit="0" readingOrder="0"/>
      <border diagonalUp="0" diagonalDown="0">
        <left style="medium">
          <color rgb="FFAFA2C2"/>
        </left>
        <right/>
        <top style="medium">
          <color rgb="FFAFA2C2"/>
        </top>
        <bottom style="medium">
          <color rgb="FFAFA2C2"/>
        </bottom>
        <vertical/>
        <horizontal style="medium">
          <color rgb="FFAFA2C2"/>
        </horizontal>
      </border>
    </dxf>
    <dxf>
      <font>
        <strike val="0"/>
        <outline val="0"/>
        <shadow val="0"/>
        <u val="none"/>
        <vertAlign val="baseline"/>
        <sz val="10"/>
        <color theme="0"/>
        <name val="Century Gothic"/>
        <family val="2"/>
        <scheme val="none"/>
      </font>
      <fill>
        <patternFill patternType="solid">
          <fgColor indexed="64"/>
          <bgColor rgb="FF3F3352"/>
        </patternFill>
      </fill>
    </dxf>
    <dxf>
      <font>
        <b val="0"/>
        <i val="0"/>
        <strike val="0"/>
        <condense val="0"/>
        <extend val="0"/>
        <outline val="0"/>
        <shadow val="0"/>
        <u val="none"/>
        <vertAlign val="baseline"/>
        <sz val="9"/>
        <color theme="1"/>
        <name val="Century Gothic"/>
        <family val="2"/>
        <scheme val="none"/>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style="medium">
          <color rgb="FFAFA2C2"/>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b/>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style="medium">
          <color rgb="FFAFA2C2"/>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style="medium">
          <color rgb="FFAFA2C2"/>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style="medium">
          <color rgb="FFAFA2C2"/>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b/>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style="medium">
          <color rgb="FFAFA2C2"/>
        </left>
        <right/>
        <top style="medium">
          <color rgb="FFAFA2C2"/>
        </top>
        <bottom style="medium">
          <color rgb="FFAFA2C2"/>
        </bottom>
      </border>
    </dxf>
    <dxf>
      <font>
        <b/>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style="medium">
          <color rgb="FFAFA2C2"/>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style="medium">
          <color rgb="FFAFA2C2"/>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style="medium">
          <color rgb="FFAFA2C2"/>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b/>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style="medium">
          <color rgb="FFAFA2C2"/>
        </left>
        <right/>
        <top style="medium">
          <color rgb="FFAFA2C2"/>
        </top>
        <bottom style="medium">
          <color rgb="FFAFA2C2"/>
        </bottom>
      </border>
    </dxf>
    <dxf>
      <font>
        <b/>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style="medium">
          <color rgb="FFAFA2C2"/>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style="medium">
          <color rgb="FFAFA2C2"/>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style="medium">
          <color rgb="FFAFA2C2"/>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b/>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style="medium">
          <color rgb="FFAFA2C2"/>
        </left>
        <right/>
        <top style="medium">
          <color rgb="FFAFA2C2"/>
        </top>
        <bottom style="medium">
          <color rgb="FFAFA2C2"/>
        </bottom>
      </border>
    </dxf>
    <dxf>
      <font>
        <b/>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style="medium">
          <color rgb="FFAFA2C2"/>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style="medium">
          <color rgb="FFAFA2C2"/>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style="medium">
          <color rgb="FFAFA2C2"/>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strike val="0"/>
        <outline val="0"/>
        <shadow val="0"/>
        <u val="none"/>
        <vertAlign val="baseline"/>
        <sz val="9"/>
        <color theme="1" tint="0.24994659260841701"/>
        <name val="Century Gothic"/>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top style="medium">
          <color rgb="FFAFA2C2"/>
        </top>
        <bottom style="medium">
          <color rgb="FFAFA2C2"/>
        </bottom>
      </border>
    </dxf>
    <dxf>
      <font>
        <b/>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style="medium">
          <color rgb="FFAFA2C2"/>
        </left>
        <right/>
        <top style="medium">
          <color rgb="FFAFA2C2"/>
        </top>
        <bottom style="medium">
          <color rgb="FFAFA2C2"/>
        </bottom>
      </border>
    </dxf>
    <dxf>
      <font>
        <b/>
        <strike val="0"/>
        <outline val="0"/>
        <shadow val="0"/>
        <u val="none"/>
        <vertAlign val="baseline"/>
        <sz val="9"/>
        <color theme="1" tint="0.24994659260841701"/>
        <name val="Century Gothic"/>
        <family val="2"/>
        <scheme val="none"/>
      </font>
      <fill>
        <patternFill patternType="solid">
          <fgColor indexed="64"/>
          <bgColor rgb="FFF1EFF5"/>
        </patternFill>
      </fill>
      <alignment horizontal="general" vertical="center" textRotation="0" wrapText="0" indent="0" justifyLastLine="0" shrinkToFit="0" readingOrder="0"/>
      <border diagonalUp="0" diagonalDown="0" outline="0">
        <left style="medium">
          <color rgb="FFAFA2C2"/>
        </left>
        <right/>
        <top style="medium">
          <color rgb="FFAFA2C2"/>
        </top>
        <bottom style="medium">
          <color rgb="FFAFA2C2"/>
        </bottom>
      </border>
    </dxf>
    <dxf>
      <border outline="0">
        <bottom style="medium">
          <color theme="6" tint="0.39997558519241921"/>
        </bottom>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TableStyle="Detailed expense estimates Table 2" defaultPivotStyle="PivotStyleLight16">
    <tableStyle name="Detailed expense estimates Table 2" pivot="0" count="7" xr9:uid="{00000000-0011-0000-FFFF-FFFF00000000}">
      <tableStyleElement type="wholeTable" dxfId="154"/>
      <tableStyleElement type="headerRow" dxfId="153"/>
      <tableStyleElement type="totalRow" dxfId="152"/>
      <tableStyleElement type="firstColumn" dxfId="151"/>
      <tableStyleElement type="lastColumn" dxfId="150"/>
      <tableStyleElement type="firstRowStripe" size="9" dxfId="149"/>
      <tableStyleElement type="firstColumnStripe" dxfId="148"/>
    </tableStyle>
  </tableStyles>
  <colors>
    <mruColors>
      <color rgb="FF3F3352"/>
      <color rgb="FFAFA2C2"/>
      <color rgb="FFF1EFF5"/>
      <color rgb="FF9DBD59"/>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Monthly Expenses</a:t>
            </a:r>
          </a:p>
        </c:rich>
      </c:tx>
      <c:layout>
        <c:manualLayout>
          <c:xMode val="edge"/>
          <c:yMode val="edge"/>
          <c:x val="1.0996591979294411E-2"/>
          <c:y val="8.9032056798246002E-3"/>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1"/>
          <c:order val="1"/>
          <c:tx>
            <c:v>Planned</c:v>
          </c:tx>
          <c:spPr>
            <a:solidFill>
              <a:srgbClr val="AFA2C2"/>
            </a:solidFill>
            <a:ln w="9525" cap="flat" cmpd="sng" algn="ctr">
              <a:solidFill>
                <a:srgbClr val="3F3352"/>
              </a:solidFill>
              <a:round/>
            </a:ln>
            <a:effectLst>
              <a:outerShdw blurRad="40000" dist="20000" dir="5400000" rotWithShape="0">
                <a:srgbClr val="000000">
                  <a:alpha val="38000"/>
                </a:srgbClr>
              </a:outerShdw>
            </a:effectLst>
          </c:spPr>
          <c:invertIfNegative val="0"/>
          <c:val>
            <c:numRef>
              <c:f>'PLANNED EXPENSES'!$C$32:$N$32</c:f>
              <c:numCache>
                <c:formatCode>General</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Actual</c:v>
          </c:tx>
          <c:spPr>
            <a:gradFill rotWithShape="1">
              <a:gsLst>
                <a:gs pos="0">
                  <a:schemeClr val="accent3">
                    <a:tint val="65000"/>
                    <a:tint val="50000"/>
                    <a:satMod val="300000"/>
                  </a:schemeClr>
                </a:gs>
                <a:gs pos="35000">
                  <a:schemeClr val="accent3">
                    <a:tint val="65000"/>
                    <a:tint val="37000"/>
                    <a:satMod val="300000"/>
                  </a:schemeClr>
                </a:gs>
                <a:gs pos="100000">
                  <a:schemeClr val="accent3">
                    <a:tint val="65000"/>
                    <a:tint val="15000"/>
                    <a:satMod val="350000"/>
                  </a:schemeClr>
                </a:gs>
              </a:gsLst>
              <a:lin ang="16200000" scaled="1"/>
            </a:gradFill>
            <a:ln w="9525" cap="flat" cmpd="sng" algn="ctr">
              <a:solidFill>
                <a:schemeClr val="accent3">
                  <a:tint val="65000"/>
                  <a:shade val="95000"/>
                </a:schemeClr>
              </a:solidFill>
              <a:round/>
            </a:ln>
            <a:effectLst>
              <a:outerShdw blurRad="40000" dist="20000" dir="5400000" rotWithShape="0">
                <a:srgbClr val="000000">
                  <a:alpha val="38000"/>
                </a:srgbClr>
              </a:outerShdw>
            </a:effectLst>
          </c:spPr>
          <c:invertIfNegative val="0"/>
          <c:val>
            <c:numRef>
              <c:f>#REF!</c:f>
              <c:numCache>
                <c:formatCode>General</c:formatCode>
                <c:ptCount val="1"/>
                <c:pt idx="0">
                  <c:v>1</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Variance</c:v>
          </c:tx>
          <c:spPr>
            <a:ln w="15875" cap="rnd">
              <a:solidFill>
                <a:schemeClr val="accent3">
                  <a:shade val="65000"/>
                </a:schemeClr>
              </a:solidFill>
              <a:round/>
            </a:ln>
            <a:effectLst>
              <a:outerShdw blurRad="40000" dist="20000" dir="5400000" rotWithShape="0">
                <a:srgbClr val="000000">
                  <a:alpha val="38000"/>
                </a:srgbClr>
              </a:outerShdw>
            </a:effectLst>
          </c:spPr>
          <c:marker>
            <c:symbol val="none"/>
          </c:marker>
          <c:val>
            <c:numRef>
              <c:f>#REF!</c:f>
              <c:numCache>
                <c:formatCode>General</c:formatCode>
                <c:ptCount val="1"/>
                <c:pt idx="0">
                  <c:v>1</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r>
                  <a:rPr lang="en-US"/>
                  <a:t>Month</a:t>
                </a:r>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62147008"/>
        <c:crosses val="autoZero"/>
        <c:auto val="1"/>
        <c:lblAlgn val="ctr"/>
        <c:lblOffset val="100"/>
        <c:noMultiLvlLbl val="0"/>
      </c:catAx>
      <c:valAx>
        <c:axId val="362147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Century Gothic" panose="020B0502020202020204" pitchFamily="34" charset="0"/>
                    <a:ea typeface="+mn-ea"/>
                    <a:cs typeface="+mn-cs"/>
                  </a:defRPr>
                </a:pPr>
                <a:r>
                  <a:rPr lang="en-US">
                    <a:latin typeface="Century Gothic" panose="020B0502020202020204" pitchFamily="34" charset="0"/>
                  </a:rPr>
                  <a:t>Expenses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Century Gothic" panose="020B0502020202020204" pitchFamily="34" charset="0"/>
                  <a:ea typeface="+mn-ea"/>
                  <a:cs typeface="+mn-cs"/>
                </a:defRPr>
              </a:pPr>
              <a:endParaRPr lang="en-US"/>
            </a:p>
          </c:txPr>
        </c:title>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crossAx val="362146616"/>
        <c:crosses val="autoZero"/>
        <c:crossBetween val="between"/>
        <c:dispUnits>
          <c:builtInUnit val="tenThousands"/>
          <c:dispUnitsLbl>
            <c:layout>
              <c:manualLayout>
                <c:xMode val="edge"/>
                <c:yMode val="edge"/>
                <c:x val="4.1853475435826903E-2"/>
                <c:y val="0.11317096082764759"/>
              </c:manualLayout>
            </c:layout>
            <c:spPr>
              <a:noFill/>
              <a:ln>
                <a:noFill/>
              </a:ln>
              <a:effectLst/>
            </c:spPr>
            <c:txPr>
              <a:bodyPr rot="-5400000" spcFirstLastPara="1" vertOverflow="ellipsis" vert="horz" wrap="square" anchor="ctr" anchorCtr="1"/>
              <a:lstStyle/>
              <a:p>
                <a:pPr>
                  <a:defRPr sz="1000" b="0" i="0" u="none" strike="noStrike" kern="1200" cap="all" baseline="0">
                    <a:solidFill>
                      <a:schemeClr val="tx1">
                        <a:lumMod val="50000"/>
                        <a:lumOff val="50000"/>
                      </a:schemeClr>
                    </a:solidFill>
                    <a:latin typeface="Century Gothic" panose="020B0502020202020204" pitchFamily="34" charset="0"/>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47698573031214"/>
          <c:y val="0.17330539881195353"/>
          <c:w val="0.79968138263906308"/>
          <c:h val="0.71853463513379401"/>
        </c:manualLayout>
      </c:layout>
      <c:barChart>
        <c:barDir val="bar"/>
        <c:grouping val="clustered"/>
        <c:varyColors val="0"/>
        <c:ser>
          <c:idx val="1"/>
          <c:order val="0"/>
          <c:tx>
            <c:strRef>
              <c:f>'EXPENSE ANALYSIS'!$C$4</c:f>
              <c:strCache>
                <c:ptCount val="1"/>
                <c:pt idx="0">
                  <c:v>Planned Expenses</c:v>
                </c:pt>
              </c:strCache>
            </c:strRef>
          </c:tx>
          <c:spPr>
            <a:solidFill>
              <a:srgbClr val="AFA2C2"/>
            </a:solidFill>
            <a:ln w="19050">
              <a:solidFill>
                <a:srgbClr val="3F3352"/>
              </a:solidFill>
            </a:ln>
            <a:effectLst/>
          </c:spPr>
          <c:invertIfNegative val="0"/>
          <c:cat>
            <c:strRef>
              <c:f>'EXPENSE ANALYSIS'!$B$5:$B$8</c:f>
              <c:strCache>
                <c:ptCount val="4"/>
                <c:pt idx="0">
                  <c:v>Employee Costs</c:v>
                </c:pt>
                <c:pt idx="1">
                  <c:v>Office Costs</c:v>
                </c:pt>
                <c:pt idx="2">
                  <c:v>Marketing Costs</c:v>
                </c:pt>
                <c:pt idx="3">
                  <c:v>Training/Travel</c:v>
                </c:pt>
              </c:strCache>
            </c:strRef>
          </c:cat>
          <c:val>
            <c:numRef>
              <c:f>'EXPENSE ANALYSIS'!$C$5:$C$8</c:f>
              <c:numCache>
                <c:formatCode>"$"#,##0.00_);[Red]\("$"#,##0.00\)</c:formatCode>
                <c:ptCount val="4"/>
                <c:pt idx="0">
                  <c:v>1355090</c:v>
                </c:pt>
                <c:pt idx="1">
                  <c:v>138740</c:v>
                </c:pt>
                <c:pt idx="2">
                  <c:v>67800</c:v>
                </c:pt>
                <c:pt idx="3">
                  <c:v>48000</c:v>
                </c:pt>
              </c:numCache>
            </c:numRef>
          </c:val>
          <c:extLst>
            <c:ext xmlns:c16="http://schemas.microsoft.com/office/drawing/2014/chart" uri="{C3380CC4-5D6E-409C-BE32-E72D297353CC}">
              <c16:uniqueId val="{00000009-F485-485F-B818-D5944CB69AAB}"/>
            </c:ext>
          </c:extLst>
        </c:ser>
        <c:ser>
          <c:idx val="0"/>
          <c:order val="1"/>
          <c:tx>
            <c:strRef>
              <c:f>'EXPENSE ANALYSIS'!$D$4</c:f>
              <c:strCache>
                <c:ptCount val="1"/>
                <c:pt idx="0">
                  <c:v>Actual Expenses</c:v>
                </c:pt>
              </c:strCache>
            </c:strRef>
          </c:tx>
          <c:spPr>
            <a:solidFill>
              <a:schemeClr val="accent4"/>
            </a:solidFill>
            <a:ln w="19050">
              <a:noFill/>
            </a:ln>
            <a:effectLst/>
          </c:spPr>
          <c:invertIfNegative val="0"/>
          <c:dPt>
            <c:idx val="0"/>
            <c:invertIfNegative val="0"/>
            <c:bubble3D val="0"/>
            <c:spPr>
              <a:solidFill>
                <a:schemeClr val="accent4"/>
              </a:solidFill>
              <a:ln w="19050">
                <a:noFill/>
              </a:ln>
              <a:effectLst/>
            </c:spPr>
            <c:extLst>
              <c:ext xmlns:c16="http://schemas.microsoft.com/office/drawing/2014/chart" uri="{C3380CC4-5D6E-409C-BE32-E72D297353CC}">
                <c16:uniqueId val="{00000001-F485-485F-B818-D5944CB69AAB}"/>
              </c:ext>
            </c:extLst>
          </c:dPt>
          <c:dPt>
            <c:idx val="1"/>
            <c:invertIfNegative val="0"/>
            <c:bubble3D val="0"/>
            <c:spPr>
              <a:solidFill>
                <a:schemeClr val="accent4"/>
              </a:solidFill>
              <a:ln w="19050">
                <a:noFill/>
              </a:ln>
              <a:effectLst/>
            </c:spPr>
            <c:extLst>
              <c:ext xmlns:c16="http://schemas.microsoft.com/office/drawing/2014/chart" uri="{C3380CC4-5D6E-409C-BE32-E72D297353CC}">
                <c16:uniqueId val="{00000003-F485-485F-B818-D5944CB69AAB}"/>
              </c:ext>
            </c:extLst>
          </c:dPt>
          <c:dPt>
            <c:idx val="2"/>
            <c:invertIfNegative val="0"/>
            <c:bubble3D val="0"/>
            <c:spPr>
              <a:solidFill>
                <a:schemeClr val="accent4"/>
              </a:solidFill>
              <a:ln w="19050">
                <a:noFill/>
              </a:ln>
              <a:effectLst/>
            </c:spPr>
            <c:extLst>
              <c:ext xmlns:c16="http://schemas.microsoft.com/office/drawing/2014/chart" uri="{C3380CC4-5D6E-409C-BE32-E72D297353CC}">
                <c16:uniqueId val="{00000005-F485-485F-B818-D5944CB69AAB}"/>
              </c:ext>
            </c:extLst>
          </c:dPt>
          <c:dPt>
            <c:idx val="3"/>
            <c:invertIfNegative val="0"/>
            <c:bubble3D val="0"/>
            <c:spPr>
              <a:solidFill>
                <a:schemeClr val="accent4"/>
              </a:solidFill>
              <a:ln w="19050">
                <a:noFill/>
              </a:ln>
              <a:effectLst/>
            </c:spPr>
            <c:extLst>
              <c:ext xmlns:c16="http://schemas.microsoft.com/office/drawing/2014/chart" uri="{C3380CC4-5D6E-409C-BE32-E72D297353CC}">
                <c16:uniqueId val="{00000007-F485-485F-B818-D5944CB69AAB}"/>
              </c:ext>
            </c:extLst>
          </c:dPt>
          <c:cat>
            <c:strRef>
              <c:f>'EXPENSE ANALYSIS'!$B$5:$B$8</c:f>
              <c:strCache>
                <c:ptCount val="4"/>
                <c:pt idx="0">
                  <c:v>Employee Costs</c:v>
                </c:pt>
                <c:pt idx="1">
                  <c:v>Office Costs</c:v>
                </c:pt>
                <c:pt idx="2">
                  <c:v>Marketing Costs</c:v>
                </c:pt>
                <c:pt idx="3">
                  <c:v>Training/Travel</c:v>
                </c:pt>
              </c:strCache>
            </c:strRef>
          </c:cat>
          <c:val>
            <c:numRef>
              <c:f>'EXPENSE ANALYSIS'!$D$5:$D$8</c:f>
              <c:numCache>
                <c:formatCode>"$"#,##0.00_);[Red]\("$"#,##0.00\)</c:formatCode>
                <c:ptCount val="4"/>
              </c:numCache>
            </c:numRef>
          </c:val>
          <c:extLst>
            <c:ext xmlns:c16="http://schemas.microsoft.com/office/drawing/2014/chart" uri="{C3380CC4-5D6E-409C-BE32-E72D297353CC}">
              <c16:uniqueId val="{00000008-F485-485F-B818-D5944CB69AAB}"/>
            </c:ext>
          </c:extLst>
        </c:ser>
        <c:dLbls>
          <c:showLegendKey val="0"/>
          <c:showVal val="0"/>
          <c:showCatName val="0"/>
          <c:showSerName val="0"/>
          <c:showPercent val="0"/>
          <c:showBubbleSize val="0"/>
        </c:dLbls>
        <c:gapWidth val="100"/>
        <c:axId val="716845712"/>
        <c:axId val="716855552"/>
      </c:barChart>
      <c:valAx>
        <c:axId val="716855552"/>
        <c:scaling>
          <c:orientation val="minMax"/>
          <c:max val="1400000"/>
        </c:scaling>
        <c:delete val="0"/>
        <c:axPos val="t"/>
        <c:majorGridlines>
          <c:spPr>
            <a:ln w="9525" cap="flat" cmpd="sng" algn="ctr">
              <a:solidFill>
                <a:schemeClr val="tx1">
                  <a:lumMod val="15000"/>
                  <a:lumOff val="85000"/>
                </a:schemeClr>
              </a:solidFill>
              <a:round/>
            </a:ln>
            <a:effectLst/>
          </c:spPr>
        </c:majorGridlines>
        <c:numFmt formatCode="&quot;$&quot;#,##0_);[Red]\(&quot;$&quot;#,##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6845712"/>
        <c:crosses val="autoZero"/>
        <c:crossBetween val="between"/>
        <c:dispUnits>
          <c:builtInUnit val="tenThousands"/>
          <c:dispUnitsLbl>
            <c:layout>
              <c:manualLayout>
                <c:xMode val="edge"/>
                <c:yMode val="edge"/>
                <c:x val="0.88923701186841542"/>
                <c:y val="0.94119752263847256"/>
              </c:manualLayout>
            </c:layout>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catAx>
        <c:axId val="71684571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6855552"/>
        <c:crosses val="autoZero"/>
        <c:auto val="1"/>
        <c:lblAlgn val="ctr"/>
        <c:lblOffset val="100"/>
        <c:noMultiLvlLbl val="0"/>
      </c:catAx>
      <c:spPr>
        <a:noFill/>
        <a:ln>
          <a:noFill/>
        </a:ln>
        <a:effectLst/>
      </c:spPr>
    </c:plotArea>
    <c:legend>
      <c:legendPos val="t"/>
      <c:legendEntry>
        <c:idx val="1"/>
        <c:delete val="1"/>
      </c:legendEntry>
      <c:layout>
        <c:manualLayout>
          <c:xMode val="edge"/>
          <c:yMode val="edge"/>
          <c:x val="1.0972101080870553E-3"/>
          <c:y val="1.0416663818716148E-2"/>
          <c:w val="0.29634907228550156"/>
          <c:h val="5.58442541983119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11</xdr:row>
      <xdr:rowOff>200025</xdr:rowOff>
    </xdr:from>
    <xdr:to>
      <xdr:col>6</xdr:col>
      <xdr:colOff>5939</xdr:colOff>
      <xdr:row>37</xdr:row>
      <xdr:rowOff>21653</xdr:rowOff>
    </xdr:to>
    <xdr:graphicFrame macro="">
      <xdr:nvGraphicFramePr>
        <xdr:cNvPr id="8" name="MonthlyExpensesChart" descr="Chart showing Planned, Actual, and Variance in Monthly Expenses">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xdr:colOff>
      <xdr:row>10</xdr:row>
      <xdr:rowOff>0</xdr:rowOff>
    </xdr:from>
    <xdr:to>
      <xdr:col>5</xdr:col>
      <xdr:colOff>1488140</xdr:colOff>
      <xdr:row>10</xdr:row>
      <xdr:rowOff>3657601</xdr:rowOff>
    </xdr:to>
    <xdr:graphicFrame macro="">
      <xdr:nvGraphicFramePr>
        <xdr:cNvPr id="7" name="ActualExpensesChart" descr="Pie chart showing actual expenses incurred on various categories">
          <a:extLst>
            <a:ext uri="{FF2B5EF4-FFF2-40B4-BE49-F238E27FC236}">
              <a16:creationId xmlns:a16="http://schemas.microsoft.com/office/drawing/2014/main" id="{FE109E8A-EB22-46B1-850C-BFD738E25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fficePlan" displayName="OfficePlan" ref="B9:O18" totalsRowCount="1" headerRowDxfId="118" dataDxfId="116" totalsRowDxfId="117">
  <autoFilter ref="B9:O1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Office Costs" totalsRowLabel="Subtotal" dataDxfId="146" totalsRowDxfId="145"/>
    <tableColumn id="2" xr3:uid="{00000000-0010-0000-0000-000002000000}" name="Jan" totalsRowFunction="sum" dataDxfId="144" totalsRowDxfId="143"/>
    <tableColumn id="3" xr3:uid="{00000000-0010-0000-0000-000003000000}" name="Feb" totalsRowFunction="sum" dataDxfId="142" totalsRowDxfId="141"/>
    <tableColumn id="4" xr3:uid="{00000000-0010-0000-0000-000004000000}" name="Mar" totalsRowFunction="sum" dataDxfId="140" totalsRowDxfId="139"/>
    <tableColumn id="5" xr3:uid="{00000000-0010-0000-0000-000005000000}" name="Apr" totalsRowFunction="sum" dataDxfId="138" totalsRowDxfId="137"/>
    <tableColumn id="6" xr3:uid="{00000000-0010-0000-0000-000006000000}" name="May" totalsRowFunction="sum" dataDxfId="136" totalsRowDxfId="135"/>
    <tableColumn id="7" xr3:uid="{00000000-0010-0000-0000-000007000000}" name="Jun" totalsRowFunction="sum" dataDxfId="134" totalsRowDxfId="133"/>
    <tableColumn id="8" xr3:uid="{00000000-0010-0000-0000-000008000000}" name="Jul" totalsRowFunction="sum" dataDxfId="132" totalsRowDxfId="131"/>
    <tableColumn id="9" xr3:uid="{00000000-0010-0000-0000-000009000000}" name="Aug" totalsRowFunction="sum" dataDxfId="130" totalsRowDxfId="129"/>
    <tableColumn id="10" xr3:uid="{00000000-0010-0000-0000-00000A000000}" name="Sep" totalsRowFunction="sum" dataDxfId="128" totalsRowDxfId="127"/>
    <tableColumn id="11" xr3:uid="{00000000-0010-0000-0000-00000B000000}" name="Oct" totalsRowFunction="sum" dataDxfId="126" totalsRowDxfId="125"/>
    <tableColumn id="12" xr3:uid="{00000000-0010-0000-0000-00000C000000}" name="Nov" totalsRowFunction="sum" dataDxfId="124" totalsRowDxfId="123"/>
    <tableColumn id="13" xr3:uid="{00000000-0010-0000-0000-00000D000000}" name="Dec" totalsRowFunction="sum" dataDxfId="122" totalsRowDxfId="121"/>
    <tableColumn id="14" xr3:uid="{00000000-0010-0000-0000-00000E000000}" name="YEAR" totalsRowFunction="sum" dataDxfId="120" totalsRowDxfId="119">
      <calculatedColumnFormula>SUM(C10:N10)</calculatedColumnFormula>
    </tableColumn>
  </tableColumns>
  <tableStyleInfo showFirstColumn="1" showLastColumn="1" showRowStripes="0" showColumnStripes="0"/>
  <extLst>
    <ext xmlns:x14="http://schemas.microsoft.com/office/spreadsheetml/2009/9/main" uri="{504A1905-F514-4f6f-8877-14C23A59335A}">
      <x14:table altTextSummary="Enter planned monthly office costs in this table. Total is auto calculated at the en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arketingPlan" displayName="MarketingPlan" ref="B19:O26" totalsRowCount="1" headerRowDxfId="87" dataDxfId="85" totalsRowDxfId="86">
  <autoFilter ref="B19:O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Marketing Costs" totalsRowLabel="Subtotal" dataDxfId="115" totalsRowDxfId="114"/>
    <tableColumn id="2" xr3:uid="{00000000-0010-0000-0100-000002000000}" name="Jan" totalsRowFunction="sum" dataDxfId="113" totalsRowDxfId="112"/>
    <tableColumn id="3" xr3:uid="{00000000-0010-0000-0100-000003000000}" name="Feb" totalsRowFunction="sum" dataDxfId="111" totalsRowDxfId="110"/>
    <tableColumn id="4" xr3:uid="{00000000-0010-0000-0100-000004000000}" name="Mar" totalsRowFunction="sum" dataDxfId="109" totalsRowDxfId="108"/>
    <tableColumn id="5" xr3:uid="{00000000-0010-0000-0100-000005000000}" name="Apr" totalsRowFunction="sum" dataDxfId="107" totalsRowDxfId="106"/>
    <tableColumn id="6" xr3:uid="{00000000-0010-0000-0100-000006000000}" name="May" totalsRowFunction="sum" dataDxfId="105" totalsRowDxfId="104"/>
    <tableColumn id="7" xr3:uid="{00000000-0010-0000-0100-000007000000}" name="Jun" totalsRowFunction="sum" dataDxfId="103" totalsRowDxfId="102"/>
    <tableColumn id="8" xr3:uid="{00000000-0010-0000-0100-000008000000}" name="Jul" totalsRowFunction="sum" dataDxfId="101" totalsRowDxfId="100"/>
    <tableColumn id="9" xr3:uid="{00000000-0010-0000-0100-000009000000}" name="Aug" totalsRowFunction="sum" dataDxfId="99" totalsRowDxfId="98"/>
    <tableColumn id="10" xr3:uid="{00000000-0010-0000-0100-00000A000000}" name="Sep" totalsRowFunction="sum" dataDxfId="97" totalsRowDxfId="96"/>
    <tableColumn id="11" xr3:uid="{00000000-0010-0000-0100-00000B000000}" name="Oct" totalsRowFunction="sum" dataDxfId="95" totalsRowDxfId="94"/>
    <tableColumn id="12" xr3:uid="{00000000-0010-0000-0100-00000C000000}" name="Nov" totalsRowFunction="sum" dataDxfId="93" totalsRowDxfId="92"/>
    <tableColumn id="13" xr3:uid="{00000000-0010-0000-0100-00000D000000}" name="Dec" totalsRowFunction="sum" dataDxfId="91" totalsRowDxfId="90"/>
    <tableColumn id="14" xr3:uid="{00000000-0010-0000-0100-00000E000000}" name="YEAR" totalsRowFunction="sum" dataDxfId="89" totalsRowDxfId="88">
      <calculatedColumnFormula>SUM(C20:N20)</calculatedColumnFormula>
    </tableColumn>
  </tableColumns>
  <tableStyleInfo showFirstColumn="1" showLastColumn="1" showRowStripes="0" showColumnStripes="0"/>
  <extLst>
    <ext xmlns:x14="http://schemas.microsoft.com/office/spreadsheetml/2009/9/main" uri="{504A1905-F514-4f6f-8877-14C23A59335A}">
      <x14:table altTextSummary="Enter planned monthly marketing costs in this table. Total is auto calculated at the en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rainingAndTravelPlan" displayName="TrainingAndTravelPlan" ref="B27:O30" totalsRowCount="1" headerRowDxfId="56" dataDxfId="54" totalsRowDxfId="55">
  <autoFilter ref="B27:O2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Training/Travel" totalsRowLabel="Subtotal" dataDxfId="84" totalsRowDxfId="83"/>
    <tableColumn id="2" xr3:uid="{00000000-0010-0000-0200-000002000000}" name="Jan" totalsRowFunction="sum" dataDxfId="82" totalsRowDxfId="81"/>
    <tableColumn id="3" xr3:uid="{00000000-0010-0000-0200-000003000000}" name="Feb" totalsRowFunction="sum" dataDxfId="80" totalsRowDxfId="79"/>
    <tableColumn id="4" xr3:uid="{00000000-0010-0000-0200-000004000000}" name="Mar" totalsRowFunction="sum" dataDxfId="78" totalsRowDxfId="77"/>
    <tableColumn id="5" xr3:uid="{00000000-0010-0000-0200-000005000000}" name="Apr" totalsRowFunction="sum" dataDxfId="76" totalsRowDxfId="75"/>
    <tableColumn id="6" xr3:uid="{00000000-0010-0000-0200-000006000000}" name="May" totalsRowFunction="sum" dataDxfId="74" totalsRowDxfId="73"/>
    <tableColumn id="7" xr3:uid="{00000000-0010-0000-0200-000007000000}" name="Jun" totalsRowFunction="sum" dataDxfId="72" totalsRowDxfId="71"/>
    <tableColumn id="8" xr3:uid="{00000000-0010-0000-0200-000008000000}" name="Jul" totalsRowFunction="sum" dataDxfId="70" totalsRowDxfId="69"/>
    <tableColumn id="9" xr3:uid="{00000000-0010-0000-0200-000009000000}" name="Aug" totalsRowFunction="sum" dataDxfId="68" totalsRowDxfId="67"/>
    <tableColumn id="10" xr3:uid="{00000000-0010-0000-0200-00000A000000}" name="Sep" totalsRowFunction="sum" dataDxfId="66" totalsRowDxfId="65"/>
    <tableColumn id="11" xr3:uid="{00000000-0010-0000-0200-00000B000000}" name="Oct" totalsRowFunction="sum" dataDxfId="64" totalsRowDxfId="63"/>
    <tableColumn id="12" xr3:uid="{00000000-0010-0000-0200-00000C000000}" name="Nov" totalsRowFunction="sum" dataDxfId="62" totalsRowDxfId="61"/>
    <tableColumn id="13" xr3:uid="{00000000-0010-0000-0200-00000D000000}" name="Dec" totalsRowFunction="sum" dataDxfId="60" totalsRowDxfId="59"/>
    <tableColumn id="14" xr3:uid="{00000000-0010-0000-0200-00000E000000}" name="YEAR" totalsRowFunction="sum" dataDxfId="58" totalsRowDxfId="57">
      <calculatedColumnFormula>SUM(C28:N28)</calculatedColumnFormula>
    </tableColumn>
  </tableColumns>
  <tableStyleInfo showFirstColumn="1" showLastColumn="1" showRowStripes="0" showColumnStripes="0"/>
  <extLst>
    <ext xmlns:x14="http://schemas.microsoft.com/office/spreadsheetml/2009/9/main" uri="{504A1905-F514-4f6f-8877-14C23A59335A}">
      <x14:table altTextSummary="Enter planned monthly training and traveling costs in this table. 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EmployeePlan" displayName="EmployeePlan" ref="B5:O8" totalsRowCount="1" headerRowDxfId="25" dataDxfId="23" totalsRowDxfId="24">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Employee Costs" totalsRowLabel="Subtotal" dataDxfId="53" totalsRowDxfId="52"/>
    <tableColumn id="2" xr3:uid="{00000000-0010-0000-0300-000002000000}" name="Jan" totalsRowFunction="sum" dataDxfId="51" totalsRowDxfId="50">
      <calculatedColumnFormula>C5*0.27</calculatedColumnFormula>
    </tableColumn>
    <tableColumn id="3" xr3:uid="{00000000-0010-0000-0300-000003000000}" name="Feb" totalsRowFunction="sum" dataDxfId="49" totalsRowDxfId="48">
      <calculatedColumnFormula>D5*0.27</calculatedColumnFormula>
    </tableColumn>
    <tableColumn id="4" xr3:uid="{00000000-0010-0000-0300-000004000000}" name="Mar" totalsRowFunction="sum" dataDxfId="47" totalsRowDxfId="46">
      <calculatedColumnFormula>E5*0.27</calculatedColumnFormula>
    </tableColumn>
    <tableColumn id="5" xr3:uid="{00000000-0010-0000-0300-000005000000}" name="Apr" totalsRowFunction="sum" dataDxfId="45" totalsRowDxfId="44">
      <calculatedColumnFormula>F5*0.27</calculatedColumnFormula>
    </tableColumn>
    <tableColumn id="6" xr3:uid="{00000000-0010-0000-0300-000006000000}" name="May" totalsRowFunction="sum" dataDxfId="43" totalsRowDxfId="42">
      <calculatedColumnFormula>G5*0.27</calculatedColumnFormula>
    </tableColumn>
    <tableColumn id="7" xr3:uid="{00000000-0010-0000-0300-000007000000}" name="Jun" totalsRowFunction="sum" dataDxfId="41" totalsRowDxfId="40">
      <calculatedColumnFormula>H5*0.27</calculatedColumnFormula>
    </tableColumn>
    <tableColumn id="8" xr3:uid="{00000000-0010-0000-0300-000008000000}" name="Jul" totalsRowFunction="sum" dataDxfId="39" totalsRowDxfId="38">
      <calculatedColumnFormula>I5*0.27</calculatedColumnFormula>
    </tableColumn>
    <tableColumn id="9" xr3:uid="{00000000-0010-0000-0300-000009000000}" name="Aug" totalsRowFunction="sum" dataDxfId="37" totalsRowDxfId="36">
      <calculatedColumnFormula>J5*0.27</calculatedColumnFormula>
    </tableColumn>
    <tableColumn id="10" xr3:uid="{00000000-0010-0000-0300-00000A000000}" name="Sep" totalsRowFunction="sum" dataDxfId="35" totalsRowDxfId="34">
      <calculatedColumnFormula>K5*0.27</calculatedColumnFormula>
    </tableColumn>
    <tableColumn id="11" xr3:uid="{00000000-0010-0000-0300-00000B000000}" name="Oct" totalsRowFunction="sum" dataDxfId="33" totalsRowDxfId="32">
      <calculatedColumnFormula>L5*0.27</calculatedColumnFormula>
    </tableColumn>
    <tableColumn id="12" xr3:uid="{00000000-0010-0000-0300-00000C000000}" name="Nov" totalsRowFunction="sum" dataDxfId="31" totalsRowDxfId="30">
      <calculatedColumnFormula>M5*0.27</calculatedColumnFormula>
    </tableColumn>
    <tableColumn id="13" xr3:uid="{00000000-0010-0000-0300-00000D000000}" name="Dec" totalsRowFunction="sum" dataDxfId="29" totalsRowDxfId="28">
      <calculatedColumnFormula>N5*0.27</calculatedColumnFormula>
    </tableColumn>
    <tableColumn id="14" xr3:uid="{00000000-0010-0000-0300-00000E000000}" name="YEAR" totalsRowFunction="sum" dataDxfId="27" totalsRowDxfId="26">
      <calculatedColumnFormula>SUM(C6:N6)</calculatedColumnFormula>
    </tableColumn>
  </tableColumns>
  <tableStyleInfo showFirstColumn="1" showLastColumn="1" showRowStripes="1" showColumnStripes="0"/>
  <extLst>
    <ext xmlns:x14="http://schemas.microsoft.com/office/spreadsheetml/2009/9/main" uri="{504A1905-F514-4f6f-8877-14C23A59335A}">
      <x14:table altTextSummary="Enter planned monthly employee costs in this table. Total is auto calculated at the en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PlannedTotal" displayName="PlannedTotal" ref="B31:O33" totalsRowShown="0" headerRowDxfId="8" dataDxfId="7">
  <autoFilter ref="B31:O33"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TOTALS" dataDxfId="22"/>
    <tableColumn id="2" xr3:uid="{3CBCAAC6-5850-43CE-8A4B-7299FADFEA94}" name="Jan" dataDxfId="21">
      <calculatedColumnFormula>SUM($C31:C$32)</calculatedColumnFormula>
    </tableColumn>
    <tableColumn id="3" xr3:uid="{E78EAAAB-F732-4079-94F1-D17531764B41}" name="Feb" dataDxfId="20">
      <calculatedColumnFormula>SUM($C31:D$32)</calculatedColumnFormula>
    </tableColumn>
    <tableColumn id="4" xr3:uid="{7E178853-B334-4E02-A0B5-9E8AC39D6929}" name="Mar" dataDxfId="19">
      <calculatedColumnFormula>SUM($C31:E$32)</calculatedColumnFormula>
    </tableColumn>
    <tableColumn id="5" xr3:uid="{901BCAA1-7C45-46E6-9DAA-C055B5CC4D9E}" name="Apr" dataDxfId="18">
      <calculatedColumnFormula>SUM($C31:F$32)</calculatedColumnFormula>
    </tableColumn>
    <tableColumn id="6" xr3:uid="{FDC62F5A-FCA8-49DA-AFE4-FBDA22CB588C}" name="May" dataDxfId="17">
      <calculatedColumnFormula>SUM($C31:G$32)</calculatedColumnFormula>
    </tableColumn>
    <tableColumn id="7" xr3:uid="{6B7E4F62-6387-4545-9593-FCFE8EB0E87B}" name="Jun" dataDxfId="16">
      <calculatedColumnFormula>SUM($C31:H$32)</calculatedColumnFormula>
    </tableColumn>
    <tableColumn id="8" xr3:uid="{29C96D76-82C3-4C86-A866-135D2B5F6766}" name="Jul" dataDxfId="15">
      <calculatedColumnFormula>SUM($C31:I$32)</calculatedColumnFormula>
    </tableColumn>
    <tableColumn id="9" xr3:uid="{8EAF7A8A-BCFD-4A07-ADFE-7B3A8A367BB3}" name="Aug" dataDxfId="14">
      <calculatedColumnFormula>SUM($C31:J$32)</calculatedColumnFormula>
    </tableColumn>
    <tableColumn id="10" xr3:uid="{F40CD844-EFB4-4B82-8FEA-F130D1DDE9B6}" name="Sep" dataDxfId="13">
      <calculatedColumnFormula>SUM($C31:K$32)</calculatedColumnFormula>
    </tableColumn>
    <tableColumn id="11" xr3:uid="{42E3BDAF-1274-4A42-93E1-A70D8EFF4D76}" name="Oct" dataDxfId="12">
      <calculatedColumnFormula>SUM($C31:L$32)</calculatedColumnFormula>
    </tableColumn>
    <tableColumn id="12" xr3:uid="{4F7ADDB3-3705-4D5F-B56D-EBBC8E7DFAFB}" name="Nov" dataDxfId="11">
      <calculatedColumnFormula>SUM($C31:M$32)</calculatedColumnFormula>
    </tableColumn>
    <tableColumn id="13" xr3:uid="{56789314-1137-4ED4-BA2B-969187ADECB2}" name="Dec" dataDxfId="10">
      <calculatedColumnFormula>SUM($C31:N$32)</calculatedColumnFormula>
    </tableColumn>
    <tableColumn id="14" xr3:uid="{284F34B8-8D32-4E44-96FD-25CE69A931D2}" name="Year" dataDxfId="9"/>
  </tableColumns>
  <tableStyleInfo showFirstColumn="1" showLastColumn="0" showRowStripes="0" showColumnStripes="0"/>
  <extLst>
    <ext xmlns:x14="http://schemas.microsoft.com/office/spreadsheetml/2009/9/main" uri="{504A1905-F514-4f6f-8877-14C23A59335A}">
      <x14:table altTextSummary="Monthly and Total Planned Expenses are auto calculated in this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Analysis" displayName="Analysis" ref="B4:F9" totalsRowShown="0" headerRowDxfId="5" dataDxfId="6" tableBorderDxfId="147">
  <autoFilter ref="B4:F9"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Expense Category" dataDxfId="4"/>
    <tableColumn id="2" xr3:uid="{71038352-BC76-49DD-9F6C-B394E5F033ED}" name="Planned Expenses" dataDxfId="3"/>
    <tableColumn id="3" xr3:uid="{19ED3EBC-BC10-47F6-9800-62129A32BC8E}" name="Actual Expenses" dataDxfId="2"/>
    <tableColumn id="4" xr3:uid="{E8D5E1DD-7CB1-4A1A-8F42-EFBF70790FE7}" name="Expense Variances" dataDxfId="1"/>
    <tableColumn id="5" xr3:uid="{47E1881E-12A2-4F0E-8364-B79F2DC5D0B1}" name="Variance Percentage" dataDxfId="0"/>
  </tableColumns>
  <tableStyleInfo showFirstColumn="1" showLastColumn="0" showRowStripes="0" showColumnStripes="0"/>
</table>
</file>

<file path=xl/theme/theme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autoPageBreaks="0" fitToPage="1"/>
  </sheetPr>
  <dimension ref="A1:T33"/>
  <sheetViews>
    <sheetView showGridLines="0" tabSelected="1" topLeftCell="A49" zoomScaleNormal="100" workbookViewId="0">
      <selection activeCell="O4" sqref="O4"/>
    </sheetView>
  </sheetViews>
  <sheetFormatPr defaultColWidth="9.140625" defaultRowHeight="21" customHeight="1" x14ac:dyDescent="0.25"/>
  <cols>
    <col min="1" max="1" width="4.7109375" style="3" customWidth="1"/>
    <col min="2" max="2" width="51.42578125" style="3" customWidth="1"/>
    <col min="3" max="9" width="14.28515625" style="3" customWidth="1"/>
    <col min="10" max="14" width="15" style="3" bestFit="1" customWidth="1"/>
    <col min="15" max="15" width="23.5703125" style="3" customWidth="1"/>
    <col min="16" max="16" width="4.7109375" style="3" customWidth="1"/>
    <col min="17" max="17" width="1.7109375" style="3" customWidth="1"/>
    <col min="18" max="19" width="9.140625" style="3"/>
    <col min="20" max="20" width="11.140625" style="3" customWidth="1"/>
    <col min="21" max="16384" width="9.140625" style="3"/>
  </cols>
  <sheetData>
    <row r="1" spans="1:20" ht="24" customHeight="1" x14ac:dyDescent="0.25">
      <c r="A1" s="1"/>
      <c r="B1" s="2"/>
      <c r="C1" s="2"/>
      <c r="D1" s="2"/>
      <c r="E1" s="2"/>
      <c r="F1" s="2"/>
      <c r="G1" s="2"/>
      <c r="H1" s="2"/>
      <c r="I1" s="2"/>
      <c r="J1" s="2"/>
      <c r="K1" s="2"/>
      <c r="L1" s="2"/>
      <c r="M1" s="2"/>
      <c r="N1" s="2"/>
      <c r="O1" s="2"/>
      <c r="P1" s="2" t="s">
        <v>44</v>
      </c>
    </row>
    <row r="2" spans="1:20" ht="72.75" customHeight="1" x14ac:dyDescent="0.25">
      <c r="A2" s="2"/>
      <c r="B2" s="20" t="s">
        <v>59</v>
      </c>
      <c r="C2" s="20"/>
      <c r="D2" s="20"/>
      <c r="E2" s="20"/>
      <c r="F2" s="20"/>
      <c r="G2" s="20"/>
      <c r="H2" s="20"/>
      <c r="I2" s="20"/>
      <c r="J2" s="20"/>
      <c r="K2" s="20"/>
      <c r="L2" s="20"/>
      <c r="M2" s="20"/>
      <c r="N2" s="20"/>
      <c r="O2" s="20"/>
      <c r="P2" s="2"/>
    </row>
    <row r="3" spans="1:20" ht="24" customHeight="1" thickBot="1" x14ac:dyDescent="0.3">
      <c r="A3" s="2"/>
      <c r="B3" s="11"/>
      <c r="C3" s="11"/>
      <c r="D3" s="11"/>
      <c r="E3" s="11"/>
      <c r="F3" s="11"/>
      <c r="G3" s="11"/>
      <c r="H3" s="11"/>
      <c r="I3" s="11"/>
      <c r="J3" s="11"/>
      <c r="K3" s="11"/>
      <c r="L3" s="11"/>
      <c r="M3" s="11"/>
      <c r="N3" s="11"/>
      <c r="O3" s="11"/>
      <c r="P3" s="2"/>
    </row>
    <row r="4" spans="1:20" s="5" customFormat="1" ht="70.5" customHeight="1" thickBot="1" x14ac:dyDescent="0.3">
      <c r="A4" s="3"/>
      <c r="B4" s="12" t="s">
        <v>45</v>
      </c>
      <c r="C4" s="13" t="s">
        <v>46</v>
      </c>
      <c r="D4" s="13" t="s">
        <v>47</v>
      </c>
      <c r="E4" s="14" t="s">
        <v>48</v>
      </c>
      <c r="F4" s="13" t="s">
        <v>49</v>
      </c>
      <c r="G4" s="13" t="s">
        <v>50</v>
      </c>
      <c r="H4" s="13" t="s">
        <v>51</v>
      </c>
      <c r="I4" s="14" t="s">
        <v>52</v>
      </c>
      <c r="J4" s="13" t="s">
        <v>53</v>
      </c>
      <c r="K4" s="13" t="s">
        <v>54</v>
      </c>
      <c r="L4" s="13" t="s">
        <v>55</v>
      </c>
      <c r="M4" s="13" t="s">
        <v>56</v>
      </c>
      <c r="N4" s="14" t="s">
        <v>57</v>
      </c>
      <c r="O4" s="15" t="s">
        <v>13</v>
      </c>
      <c r="P4" s="3"/>
      <c r="R4" s="6"/>
      <c r="S4" s="7"/>
      <c r="T4" s="7"/>
    </row>
    <row r="5" spans="1:20" ht="35.1" customHeight="1" thickBot="1" x14ac:dyDescent="0.3">
      <c r="B5" s="16" t="s">
        <v>14</v>
      </c>
      <c r="C5" s="17" t="s">
        <v>1</v>
      </c>
      <c r="D5" s="18" t="s">
        <v>2</v>
      </c>
      <c r="E5" s="17" t="s">
        <v>3</v>
      </c>
      <c r="F5" s="18" t="s">
        <v>4</v>
      </c>
      <c r="G5" s="17" t="s">
        <v>5</v>
      </c>
      <c r="H5" s="18" t="s">
        <v>6</v>
      </c>
      <c r="I5" s="17" t="s">
        <v>7</v>
      </c>
      <c r="J5" s="18" t="s">
        <v>8</v>
      </c>
      <c r="K5" s="17" t="s">
        <v>9</v>
      </c>
      <c r="L5" s="18" t="s">
        <v>10</v>
      </c>
      <c r="M5" s="17" t="s">
        <v>11</v>
      </c>
      <c r="N5" s="17" t="s">
        <v>12</v>
      </c>
      <c r="O5" s="19" t="s">
        <v>13</v>
      </c>
      <c r="R5" s="7"/>
      <c r="S5" s="7"/>
      <c r="T5" s="7"/>
    </row>
    <row r="6" spans="1:20" ht="35.1" customHeight="1" thickBot="1" x14ac:dyDescent="0.3">
      <c r="B6" s="16" t="s">
        <v>15</v>
      </c>
      <c r="C6" s="17">
        <v>85000</v>
      </c>
      <c r="D6" s="18">
        <v>85000</v>
      </c>
      <c r="E6" s="17">
        <v>85000</v>
      </c>
      <c r="F6" s="18">
        <v>87500</v>
      </c>
      <c r="G6" s="17">
        <v>87500</v>
      </c>
      <c r="H6" s="18">
        <v>87500</v>
      </c>
      <c r="I6" s="17">
        <v>87500</v>
      </c>
      <c r="J6" s="18">
        <v>92400</v>
      </c>
      <c r="K6" s="17">
        <v>92400</v>
      </c>
      <c r="L6" s="18">
        <v>92400</v>
      </c>
      <c r="M6" s="17">
        <v>92400</v>
      </c>
      <c r="N6" s="18">
        <v>92400</v>
      </c>
      <c r="O6" s="19">
        <f>SUM(C6:N6)</f>
        <v>1067000</v>
      </c>
      <c r="R6" s="7"/>
      <c r="S6" s="7"/>
      <c r="T6" s="7"/>
    </row>
    <row r="7" spans="1:20" ht="35.1" customHeight="1" thickBot="1" x14ac:dyDescent="0.3">
      <c r="B7" s="16" t="s">
        <v>16</v>
      </c>
      <c r="C7" s="17">
        <f t="shared" ref="C7:N7" si="0">C6*0.27</f>
        <v>22950</v>
      </c>
      <c r="D7" s="18">
        <f t="shared" si="0"/>
        <v>22950</v>
      </c>
      <c r="E7" s="17">
        <f t="shared" si="0"/>
        <v>22950</v>
      </c>
      <c r="F7" s="18">
        <f t="shared" si="0"/>
        <v>23625</v>
      </c>
      <c r="G7" s="17">
        <f t="shared" si="0"/>
        <v>23625</v>
      </c>
      <c r="H7" s="18">
        <f t="shared" si="0"/>
        <v>23625</v>
      </c>
      <c r="I7" s="17">
        <f t="shared" si="0"/>
        <v>23625</v>
      </c>
      <c r="J7" s="18">
        <f t="shared" si="0"/>
        <v>24948</v>
      </c>
      <c r="K7" s="17">
        <f t="shared" si="0"/>
        <v>24948</v>
      </c>
      <c r="L7" s="18">
        <f t="shared" si="0"/>
        <v>24948</v>
      </c>
      <c r="M7" s="17">
        <f t="shared" si="0"/>
        <v>24948</v>
      </c>
      <c r="N7" s="18">
        <f t="shared" si="0"/>
        <v>24948</v>
      </c>
      <c r="O7" s="19">
        <f>SUM(C7:N7)</f>
        <v>288090</v>
      </c>
      <c r="R7" s="7"/>
      <c r="S7" s="7"/>
      <c r="T7" s="7"/>
    </row>
    <row r="8" spans="1:20" ht="35.1" customHeight="1" thickBot="1" x14ac:dyDescent="0.3">
      <c r="B8" s="16" t="s">
        <v>17</v>
      </c>
      <c r="C8" s="17">
        <f>SUBTOTAL(109,EmployeePlan[Jan])</f>
        <v>107950</v>
      </c>
      <c r="D8" s="18">
        <f>SUBTOTAL(109,EmployeePlan[Feb])</f>
        <v>107950</v>
      </c>
      <c r="E8" s="17">
        <f>SUBTOTAL(109,EmployeePlan[Mar])</f>
        <v>107950</v>
      </c>
      <c r="F8" s="18">
        <f>SUBTOTAL(109,EmployeePlan[Apr])</f>
        <v>111125</v>
      </c>
      <c r="G8" s="17">
        <f>SUBTOTAL(109,EmployeePlan[May])</f>
        <v>111125</v>
      </c>
      <c r="H8" s="18">
        <f>SUBTOTAL(109,EmployeePlan[Jun])</f>
        <v>111125</v>
      </c>
      <c r="I8" s="17">
        <f>SUBTOTAL(109,EmployeePlan[Jul])</f>
        <v>111125</v>
      </c>
      <c r="J8" s="18">
        <f>SUBTOTAL(109,EmployeePlan[Aug])</f>
        <v>117348</v>
      </c>
      <c r="K8" s="17">
        <f>SUBTOTAL(109,EmployeePlan[Sep])</f>
        <v>117348</v>
      </c>
      <c r="L8" s="18">
        <f>SUBTOTAL(109,EmployeePlan[Oct])</f>
        <v>117348</v>
      </c>
      <c r="M8" s="17">
        <f>SUBTOTAL(109,EmployeePlan[Nov])</f>
        <v>117348</v>
      </c>
      <c r="N8" s="18">
        <f>SUBTOTAL(109,EmployeePlan[Dec])</f>
        <v>117348</v>
      </c>
      <c r="O8" s="19">
        <f>SUBTOTAL(109,EmployeePlan[YEAR])</f>
        <v>1355090</v>
      </c>
      <c r="R8" s="7"/>
      <c r="S8" s="7"/>
      <c r="T8" s="7"/>
    </row>
    <row r="9" spans="1:20" ht="35.1" customHeight="1" thickBot="1" x14ac:dyDescent="0.3">
      <c r="B9" s="16" t="s">
        <v>18</v>
      </c>
      <c r="C9" s="17" t="s">
        <v>1</v>
      </c>
      <c r="D9" s="18" t="s">
        <v>2</v>
      </c>
      <c r="E9" s="17" t="s">
        <v>3</v>
      </c>
      <c r="F9" s="18" t="s">
        <v>4</v>
      </c>
      <c r="G9" s="17" t="s">
        <v>5</v>
      </c>
      <c r="H9" s="18" t="s">
        <v>6</v>
      </c>
      <c r="I9" s="17" t="s">
        <v>7</v>
      </c>
      <c r="J9" s="18" t="s">
        <v>8</v>
      </c>
      <c r="K9" s="17" t="s">
        <v>9</v>
      </c>
      <c r="L9" s="18" t="s">
        <v>10</v>
      </c>
      <c r="M9" s="17" t="s">
        <v>11</v>
      </c>
      <c r="N9" s="18" t="s">
        <v>12</v>
      </c>
      <c r="O9" s="19" t="s">
        <v>13</v>
      </c>
      <c r="R9" s="7"/>
      <c r="S9" s="7"/>
      <c r="T9" s="7"/>
    </row>
    <row r="10" spans="1:20" ht="35.1" customHeight="1" thickBot="1" x14ac:dyDescent="0.3">
      <c r="B10" s="16" t="s">
        <v>19</v>
      </c>
      <c r="C10" s="17">
        <v>9800</v>
      </c>
      <c r="D10" s="18">
        <v>9800</v>
      </c>
      <c r="E10" s="17">
        <v>9800</v>
      </c>
      <c r="F10" s="18">
        <v>9800</v>
      </c>
      <c r="G10" s="17">
        <v>9800</v>
      </c>
      <c r="H10" s="18">
        <v>9800</v>
      </c>
      <c r="I10" s="17">
        <v>9800</v>
      </c>
      <c r="J10" s="18">
        <v>9800</v>
      </c>
      <c r="K10" s="17">
        <v>9800</v>
      </c>
      <c r="L10" s="18">
        <v>9800</v>
      </c>
      <c r="M10" s="17">
        <v>9800</v>
      </c>
      <c r="N10" s="18">
        <v>9800</v>
      </c>
      <c r="O10" s="19">
        <f t="shared" ref="O10:O17" si="1">SUM(C10:N10)</f>
        <v>117600</v>
      </c>
      <c r="R10" s="7"/>
      <c r="S10" s="7"/>
      <c r="T10" s="7"/>
    </row>
    <row r="11" spans="1:20" ht="35.1" customHeight="1" thickBot="1" x14ac:dyDescent="0.3">
      <c r="B11" s="16" t="s">
        <v>20</v>
      </c>
      <c r="C11" s="17"/>
      <c r="D11" s="18">
        <v>400</v>
      </c>
      <c r="E11" s="17">
        <v>400</v>
      </c>
      <c r="F11" s="18">
        <v>100</v>
      </c>
      <c r="G11" s="17">
        <v>100</v>
      </c>
      <c r="H11" s="18">
        <v>100</v>
      </c>
      <c r="I11" s="17">
        <v>100</v>
      </c>
      <c r="J11" s="18">
        <v>100</v>
      </c>
      <c r="K11" s="17">
        <v>100</v>
      </c>
      <c r="L11" s="18">
        <v>100</v>
      </c>
      <c r="M11" s="17">
        <v>400</v>
      </c>
      <c r="N11" s="18">
        <v>400</v>
      </c>
      <c r="O11" s="19">
        <f t="shared" si="1"/>
        <v>2300</v>
      </c>
      <c r="R11" s="7"/>
      <c r="S11" s="7"/>
      <c r="T11" s="7"/>
    </row>
    <row r="12" spans="1:20" ht="35.1" customHeight="1" thickBot="1" x14ac:dyDescent="0.3">
      <c r="B12" s="16" t="s">
        <v>21</v>
      </c>
      <c r="C12" s="17">
        <v>300</v>
      </c>
      <c r="D12" s="18">
        <v>300</v>
      </c>
      <c r="E12" s="17">
        <v>300</v>
      </c>
      <c r="F12" s="18">
        <v>300</v>
      </c>
      <c r="G12" s="17">
        <v>300</v>
      </c>
      <c r="H12" s="18">
        <v>300</v>
      </c>
      <c r="I12" s="17">
        <v>300</v>
      </c>
      <c r="J12" s="18">
        <v>300</v>
      </c>
      <c r="K12" s="17">
        <v>300</v>
      </c>
      <c r="L12" s="18">
        <v>300</v>
      </c>
      <c r="M12" s="17">
        <v>300</v>
      </c>
      <c r="N12" s="18">
        <v>300</v>
      </c>
      <c r="O12" s="19">
        <f t="shared" si="1"/>
        <v>3600</v>
      </c>
      <c r="R12" s="7"/>
      <c r="S12" s="7"/>
      <c r="T12" s="7"/>
    </row>
    <row r="13" spans="1:20" ht="35.1" customHeight="1" thickBot="1" x14ac:dyDescent="0.3">
      <c r="B13" s="16" t="s">
        <v>22</v>
      </c>
      <c r="C13" s="17">
        <v>40</v>
      </c>
      <c r="D13" s="18">
        <v>40</v>
      </c>
      <c r="E13" s="17">
        <v>40</v>
      </c>
      <c r="F13" s="18">
        <v>40</v>
      </c>
      <c r="G13" s="17">
        <v>40</v>
      </c>
      <c r="H13" s="18">
        <v>40</v>
      </c>
      <c r="I13" s="17">
        <v>40</v>
      </c>
      <c r="J13" s="18">
        <v>40</v>
      </c>
      <c r="K13" s="17">
        <v>40</v>
      </c>
      <c r="L13" s="18">
        <v>40</v>
      </c>
      <c r="M13" s="17">
        <v>40</v>
      </c>
      <c r="N13" s="18">
        <v>40</v>
      </c>
      <c r="O13" s="19">
        <f t="shared" si="1"/>
        <v>480</v>
      </c>
    </row>
    <row r="14" spans="1:20" ht="35.1" customHeight="1" thickBot="1" x14ac:dyDescent="0.3">
      <c r="B14" s="16" t="s">
        <v>23</v>
      </c>
      <c r="C14" s="17">
        <v>250</v>
      </c>
      <c r="D14" s="18">
        <v>250</v>
      </c>
      <c r="E14" s="17">
        <v>250</v>
      </c>
      <c r="F14" s="18">
        <v>250</v>
      </c>
      <c r="G14" s="17">
        <v>250</v>
      </c>
      <c r="H14" s="18">
        <v>250</v>
      </c>
      <c r="I14" s="17">
        <v>250</v>
      </c>
      <c r="J14" s="18">
        <v>250</v>
      </c>
      <c r="K14" s="17">
        <v>250</v>
      </c>
      <c r="L14" s="18">
        <v>250</v>
      </c>
      <c r="M14" s="17">
        <v>250</v>
      </c>
      <c r="N14" s="18">
        <v>250</v>
      </c>
      <c r="O14" s="19">
        <f t="shared" si="1"/>
        <v>3000</v>
      </c>
    </row>
    <row r="15" spans="1:20" ht="35.1" customHeight="1" thickBot="1" x14ac:dyDescent="0.3">
      <c r="B15" s="16" t="s">
        <v>24</v>
      </c>
      <c r="C15" s="17">
        <v>180</v>
      </c>
      <c r="D15" s="18">
        <v>180</v>
      </c>
      <c r="E15" s="17">
        <v>180</v>
      </c>
      <c r="F15" s="18">
        <v>180</v>
      </c>
      <c r="G15" s="17">
        <v>180</v>
      </c>
      <c r="H15" s="18">
        <v>180</v>
      </c>
      <c r="I15" s="17">
        <v>180</v>
      </c>
      <c r="J15" s="18">
        <v>180</v>
      </c>
      <c r="K15" s="17">
        <v>180</v>
      </c>
      <c r="L15" s="18">
        <v>180</v>
      </c>
      <c r="M15" s="17">
        <v>180</v>
      </c>
      <c r="N15" s="18">
        <v>180</v>
      </c>
      <c r="O15" s="19">
        <f t="shared" si="1"/>
        <v>2160</v>
      </c>
    </row>
    <row r="16" spans="1:20" ht="35.1" customHeight="1" thickBot="1" x14ac:dyDescent="0.3">
      <c r="B16" s="16" t="s">
        <v>25</v>
      </c>
      <c r="C16" s="17">
        <v>200</v>
      </c>
      <c r="D16" s="18">
        <v>200</v>
      </c>
      <c r="E16" s="17">
        <v>200</v>
      </c>
      <c r="F16" s="18">
        <v>200</v>
      </c>
      <c r="G16" s="17">
        <v>200</v>
      </c>
      <c r="H16" s="18">
        <v>200</v>
      </c>
      <c r="I16" s="17">
        <v>200</v>
      </c>
      <c r="J16" s="18">
        <v>200</v>
      </c>
      <c r="K16" s="17">
        <v>200</v>
      </c>
      <c r="L16" s="18">
        <v>200</v>
      </c>
      <c r="M16" s="17">
        <v>200</v>
      </c>
      <c r="N16" s="18">
        <v>200</v>
      </c>
      <c r="O16" s="19">
        <f t="shared" si="1"/>
        <v>2400</v>
      </c>
    </row>
    <row r="17" spans="2:15" ht="35.1" customHeight="1" thickBot="1" x14ac:dyDescent="0.3">
      <c r="B17" s="16" t="s">
        <v>26</v>
      </c>
      <c r="C17" s="17">
        <v>600</v>
      </c>
      <c r="D17" s="18">
        <v>600</v>
      </c>
      <c r="E17" s="17">
        <v>600</v>
      </c>
      <c r="F17" s="18">
        <v>600</v>
      </c>
      <c r="G17" s="17">
        <v>600</v>
      </c>
      <c r="H17" s="18">
        <v>600</v>
      </c>
      <c r="I17" s="17">
        <v>600</v>
      </c>
      <c r="J17" s="18">
        <v>600</v>
      </c>
      <c r="K17" s="17">
        <v>600</v>
      </c>
      <c r="L17" s="18">
        <v>600</v>
      </c>
      <c r="M17" s="17">
        <v>600</v>
      </c>
      <c r="N17" s="18">
        <v>600</v>
      </c>
      <c r="O17" s="19">
        <f t="shared" si="1"/>
        <v>7200</v>
      </c>
    </row>
    <row r="18" spans="2:15" ht="35.1" customHeight="1" thickBot="1" x14ac:dyDescent="0.3">
      <c r="B18" s="16" t="s">
        <v>17</v>
      </c>
      <c r="C18" s="17">
        <f>SUBTOTAL(109,OfficePlan[Jan])</f>
        <v>11370</v>
      </c>
      <c r="D18" s="18">
        <f>SUBTOTAL(109,OfficePlan[Feb])</f>
        <v>11770</v>
      </c>
      <c r="E18" s="17">
        <f>SUBTOTAL(109,OfficePlan[Mar])</f>
        <v>11770</v>
      </c>
      <c r="F18" s="18">
        <f>SUBTOTAL(109,OfficePlan[Apr])</f>
        <v>11470</v>
      </c>
      <c r="G18" s="17">
        <f>SUBTOTAL(109,OfficePlan[May])</f>
        <v>11470</v>
      </c>
      <c r="H18" s="18">
        <f>SUBTOTAL(109,OfficePlan[Jun])</f>
        <v>11470</v>
      </c>
      <c r="I18" s="17">
        <f>SUBTOTAL(109,OfficePlan[Jul])</f>
        <v>11470</v>
      </c>
      <c r="J18" s="18">
        <f>SUBTOTAL(109,OfficePlan[Aug])</f>
        <v>11470</v>
      </c>
      <c r="K18" s="17">
        <f>SUBTOTAL(109,OfficePlan[Sep])</f>
        <v>11470</v>
      </c>
      <c r="L18" s="18">
        <f>SUBTOTAL(109,OfficePlan[Oct])</f>
        <v>11470</v>
      </c>
      <c r="M18" s="17">
        <f>SUBTOTAL(109,OfficePlan[Nov])</f>
        <v>11770</v>
      </c>
      <c r="N18" s="18">
        <f>SUBTOTAL(109,OfficePlan[Dec])</f>
        <v>11770</v>
      </c>
      <c r="O18" s="19">
        <f>SUBTOTAL(109,OfficePlan[YEAR])</f>
        <v>138740</v>
      </c>
    </row>
    <row r="19" spans="2:15" ht="35.1" customHeight="1" thickBot="1" x14ac:dyDescent="0.3">
      <c r="B19" s="16" t="s">
        <v>27</v>
      </c>
      <c r="C19" s="17" t="s">
        <v>1</v>
      </c>
      <c r="D19" s="18" t="s">
        <v>2</v>
      </c>
      <c r="E19" s="17" t="s">
        <v>3</v>
      </c>
      <c r="F19" s="18" t="s">
        <v>4</v>
      </c>
      <c r="G19" s="17" t="s">
        <v>5</v>
      </c>
      <c r="H19" s="18" t="s">
        <v>6</v>
      </c>
      <c r="I19" s="17" t="s">
        <v>7</v>
      </c>
      <c r="J19" s="18" t="s">
        <v>8</v>
      </c>
      <c r="K19" s="17" t="s">
        <v>9</v>
      </c>
      <c r="L19" s="18" t="s">
        <v>10</v>
      </c>
      <c r="M19" s="17" t="s">
        <v>11</v>
      </c>
      <c r="N19" s="18" t="s">
        <v>12</v>
      </c>
      <c r="O19" s="19" t="s">
        <v>13</v>
      </c>
    </row>
    <row r="20" spans="2:15" ht="35.1" customHeight="1" thickBot="1" x14ac:dyDescent="0.3">
      <c r="B20" s="16" t="s">
        <v>28</v>
      </c>
      <c r="C20" s="17">
        <v>500</v>
      </c>
      <c r="D20" s="18">
        <v>500</v>
      </c>
      <c r="E20" s="17">
        <v>500</v>
      </c>
      <c r="F20" s="18">
        <v>500</v>
      </c>
      <c r="G20" s="17">
        <v>500</v>
      </c>
      <c r="H20" s="18">
        <v>500</v>
      </c>
      <c r="I20" s="17">
        <v>500</v>
      </c>
      <c r="J20" s="18">
        <v>500</v>
      </c>
      <c r="K20" s="17">
        <v>500</v>
      </c>
      <c r="L20" s="18">
        <v>500</v>
      </c>
      <c r="M20" s="17">
        <v>500</v>
      </c>
      <c r="N20" s="18">
        <v>500</v>
      </c>
      <c r="O20" s="19">
        <f t="shared" ref="O20:O25" si="2">SUM(C20:N20)</f>
        <v>6000</v>
      </c>
    </row>
    <row r="21" spans="2:15" ht="35.1" customHeight="1" thickBot="1" x14ac:dyDescent="0.3">
      <c r="B21" s="16" t="s">
        <v>29</v>
      </c>
      <c r="C21" s="17">
        <v>200</v>
      </c>
      <c r="D21" s="18">
        <v>200</v>
      </c>
      <c r="E21" s="17">
        <v>200</v>
      </c>
      <c r="F21" s="18">
        <v>200</v>
      </c>
      <c r="G21" s="17">
        <v>200</v>
      </c>
      <c r="H21" s="18">
        <v>1000</v>
      </c>
      <c r="I21" s="17">
        <v>200</v>
      </c>
      <c r="J21" s="18">
        <v>200</v>
      </c>
      <c r="K21" s="17">
        <v>200</v>
      </c>
      <c r="L21" s="18">
        <v>200</v>
      </c>
      <c r="M21" s="17">
        <v>200</v>
      </c>
      <c r="N21" s="18">
        <v>1000</v>
      </c>
      <c r="O21" s="19">
        <f t="shared" si="2"/>
        <v>4000</v>
      </c>
    </row>
    <row r="22" spans="2:15" ht="35.1" customHeight="1" thickBot="1" x14ac:dyDescent="0.3">
      <c r="B22" s="16" t="s">
        <v>30</v>
      </c>
      <c r="C22" s="17">
        <v>5000</v>
      </c>
      <c r="D22" s="18">
        <v>0</v>
      </c>
      <c r="E22" s="17">
        <v>0</v>
      </c>
      <c r="F22" s="18">
        <v>5000</v>
      </c>
      <c r="G22" s="17">
        <v>0</v>
      </c>
      <c r="H22" s="18">
        <v>0</v>
      </c>
      <c r="I22" s="17">
        <v>5000</v>
      </c>
      <c r="J22" s="18">
        <v>0</v>
      </c>
      <c r="K22" s="17">
        <v>0</v>
      </c>
      <c r="L22" s="18">
        <v>5000</v>
      </c>
      <c r="M22" s="17">
        <v>0</v>
      </c>
      <c r="N22" s="18">
        <v>0</v>
      </c>
      <c r="O22" s="19">
        <f t="shared" si="2"/>
        <v>20000</v>
      </c>
    </row>
    <row r="23" spans="2:15" ht="35.1" customHeight="1" thickBot="1" x14ac:dyDescent="0.3">
      <c r="B23" s="16" t="s">
        <v>31</v>
      </c>
      <c r="C23" s="17">
        <v>200</v>
      </c>
      <c r="D23" s="18">
        <v>200</v>
      </c>
      <c r="E23" s="17">
        <v>200</v>
      </c>
      <c r="F23" s="18">
        <v>200</v>
      </c>
      <c r="G23" s="17">
        <v>200</v>
      </c>
      <c r="H23" s="18">
        <v>200</v>
      </c>
      <c r="I23" s="17">
        <v>200</v>
      </c>
      <c r="J23" s="18">
        <v>200</v>
      </c>
      <c r="K23" s="17">
        <v>200</v>
      </c>
      <c r="L23" s="18">
        <v>200</v>
      </c>
      <c r="M23" s="17">
        <v>200</v>
      </c>
      <c r="N23" s="18">
        <v>200</v>
      </c>
      <c r="O23" s="19">
        <f t="shared" si="2"/>
        <v>2400</v>
      </c>
    </row>
    <row r="24" spans="2:15" ht="35.1" customHeight="1" thickBot="1" x14ac:dyDescent="0.3">
      <c r="B24" s="16" t="s">
        <v>32</v>
      </c>
      <c r="C24" s="17">
        <v>2000</v>
      </c>
      <c r="D24" s="18">
        <v>2000</v>
      </c>
      <c r="E24" s="17">
        <v>2000</v>
      </c>
      <c r="F24" s="18">
        <v>5000</v>
      </c>
      <c r="G24" s="17">
        <v>2000</v>
      </c>
      <c r="H24" s="18">
        <v>2000</v>
      </c>
      <c r="I24" s="17">
        <v>2000</v>
      </c>
      <c r="J24" s="18">
        <v>5000</v>
      </c>
      <c r="K24" s="17">
        <v>2000</v>
      </c>
      <c r="L24" s="18">
        <v>2000</v>
      </c>
      <c r="M24" s="17">
        <v>2000</v>
      </c>
      <c r="N24" s="18">
        <v>5000</v>
      </c>
      <c r="O24" s="19">
        <f t="shared" si="2"/>
        <v>33000</v>
      </c>
    </row>
    <row r="25" spans="2:15" ht="35.1" customHeight="1" thickBot="1" x14ac:dyDescent="0.3">
      <c r="B25" s="16" t="s">
        <v>33</v>
      </c>
      <c r="C25" s="17">
        <v>200</v>
      </c>
      <c r="D25" s="18">
        <v>200</v>
      </c>
      <c r="E25" s="17">
        <v>200</v>
      </c>
      <c r="F25" s="18">
        <v>200</v>
      </c>
      <c r="G25" s="17">
        <v>200</v>
      </c>
      <c r="H25" s="18">
        <v>200</v>
      </c>
      <c r="I25" s="17">
        <v>200</v>
      </c>
      <c r="J25" s="18">
        <v>200</v>
      </c>
      <c r="K25" s="17">
        <v>200</v>
      </c>
      <c r="L25" s="18">
        <v>200</v>
      </c>
      <c r="M25" s="17">
        <v>200</v>
      </c>
      <c r="N25" s="18">
        <v>200</v>
      </c>
      <c r="O25" s="19">
        <f t="shared" si="2"/>
        <v>2400</v>
      </c>
    </row>
    <row r="26" spans="2:15" ht="35.1" customHeight="1" thickBot="1" x14ac:dyDescent="0.3">
      <c r="B26" s="16" t="s">
        <v>17</v>
      </c>
      <c r="C26" s="17">
        <f>SUBTOTAL(109,MarketingPlan[Jan])</f>
        <v>8100</v>
      </c>
      <c r="D26" s="18">
        <f>SUBTOTAL(109,MarketingPlan[Feb])</f>
        <v>3100</v>
      </c>
      <c r="E26" s="17">
        <f>SUBTOTAL(109,MarketingPlan[Mar])</f>
        <v>3100</v>
      </c>
      <c r="F26" s="18">
        <f>SUBTOTAL(109,MarketingPlan[Apr])</f>
        <v>11100</v>
      </c>
      <c r="G26" s="17">
        <f>SUBTOTAL(109,MarketingPlan[May])</f>
        <v>3100</v>
      </c>
      <c r="H26" s="18">
        <f>SUBTOTAL(109,MarketingPlan[Jun])</f>
        <v>3900</v>
      </c>
      <c r="I26" s="17">
        <f>SUBTOTAL(109,MarketingPlan[Jul])</f>
        <v>8100</v>
      </c>
      <c r="J26" s="18">
        <f>SUBTOTAL(109,MarketingPlan[Aug])</f>
        <v>6100</v>
      </c>
      <c r="K26" s="17">
        <f>SUBTOTAL(109,MarketingPlan[Sep])</f>
        <v>3100</v>
      </c>
      <c r="L26" s="18">
        <f>SUBTOTAL(109,MarketingPlan[Oct])</f>
        <v>8100</v>
      </c>
      <c r="M26" s="17">
        <f>SUBTOTAL(109,MarketingPlan[Nov])</f>
        <v>3100</v>
      </c>
      <c r="N26" s="18">
        <f>SUBTOTAL(109,MarketingPlan[Dec])</f>
        <v>6900</v>
      </c>
      <c r="O26" s="19">
        <f>SUBTOTAL(109,MarketingPlan[YEAR])</f>
        <v>67800</v>
      </c>
    </row>
    <row r="27" spans="2:15" ht="35.1" customHeight="1" thickBot="1" x14ac:dyDescent="0.3">
      <c r="B27" s="16" t="s">
        <v>34</v>
      </c>
      <c r="C27" s="17" t="s">
        <v>1</v>
      </c>
      <c r="D27" s="18" t="s">
        <v>2</v>
      </c>
      <c r="E27" s="17" t="s">
        <v>3</v>
      </c>
      <c r="F27" s="18" t="s">
        <v>4</v>
      </c>
      <c r="G27" s="17" t="s">
        <v>5</v>
      </c>
      <c r="H27" s="18" t="s">
        <v>6</v>
      </c>
      <c r="I27" s="17" t="s">
        <v>7</v>
      </c>
      <c r="J27" s="18" t="s">
        <v>8</v>
      </c>
      <c r="K27" s="17" t="s">
        <v>9</v>
      </c>
      <c r="L27" s="18" t="s">
        <v>10</v>
      </c>
      <c r="M27" s="17" t="s">
        <v>11</v>
      </c>
      <c r="N27" s="18" t="s">
        <v>12</v>
      </c>
      <c r="O27" s="19" t="s">
        <v>13</v>
      </c>
    </row>
    <row r="28" spans="2:15" ht="35.1" customHeight="1" thickBot="1" x14ac:dyDescent="0.3">
      <c r="B28" s="16" t="s">
        <v>35</v>
      </c>
      <c r="C28" s="17">
        <v>2000</v>
      </c>
      <c r="D28" s="18">
        <v>2000</v>
      </c>
      <c r="E28" s="17">
        <v>2000</v>
      </c>
      <c r="F28" s="18">
        <v>2000</v>
      </c>
      <c r="G28" s="17">
        <v>2000</v>
      </c>
      <c r="H28" s="18">
        <v>2000</v>
      </c>
      <c r="I28" s="17">
        <v>2000</v>
      </c>
      <c r="J28" s="18">
        <v>2000</v>
      </c>
      <c r="K28" s="17">
        <v>2000</v>
      </c>
      <c r="L28" s="18">
        <v>2000</v>
      </c>
      <c r="M28" s="17">
        <v>2000</v>
      </c>
      <c r="N28" s="18">
        <v>2000</v>
      </c>
      <c r="O28" s="19">
        <f>SUM(C28:N28)</f>
        <v>24000</v>
      </c>
    </row>
    <row r="29" spans="2:15" ht="35.1" customHeight="1" thickBot="1" x14ac:dyDescent="0.3">
      <c r="B29" s="16" t="s">
        <v>36</v>
      </c>
      <c r="C29" s="17">
        <v>2000</v>
      </c>
      <c r="D29" s="18">
        <v>2000</v>
      </c>
      <c r="E29" s="17">
        <v>2000</v>
      </c>
      <c r="F29" s="18">
        <v>2000</v>
      </c>
      <c r="G29" s="17">
        <v>2000</v>
      </c>
      <c r="H29" s="18">
        <v>2000</v>
      </c>
      <c r="I29" s="17">
        <v>2000</v>
      </c>
      <c r="J29" s="18">
        <v>2000</v>
      </c>
      <c r="K29" s="17">
        <v>2000</v>
      </c>
      <c r="L29" s="18">
        <v>2000</v>
      </c>
      <c r="M29" s="17">
        <v>2000</v>
      </c>
      <c r="N29" s="18">
        <v>2000</v>
      </c>
      <c r="O29" s="19">
        <f>SUM(C29:N29)</f>
        <v>24000</v>
      </c>
    </row>
    <row r="30" spans="2:15" ht="35.1" customHeight="1" thickBot="1" x14ac:dyDescent="0.3">
      <c r="B30" s="16" t="s">
        <v>17</v>
      </c>
      <c r="C30" s="17">
        <f>SUBTOTAL(109,TrainingAndTravelPlan[Jan])</f>
        <v>4000</v>
      </c>
      <c r="D30" s="18">
        <f>SUBTOTAL(109,TrainingAndTravelPlan[Feb])</f>
        <v>4000</v>
      </c>
      <c r="E30" s="17">
        <f>SUBTOTAL(109,TrainingAndTravelPlan[Mar])</f>
        <v>4000</v>
      </c>
      <c r="F30" s="18">
        <f>SUBTOTAL(109,TrainingAndTravelPlan[Apr])</f>
        <v>4000</v>
      </c>
      <c r="G30" s="17">
        <f>SUBTOTAL(109,TrainingAndTravelPlan[May])</f>
        <v>4000</v>
      </c>
      <c r="H30" s="18">
        <f>SUBTOTAL(109,TrainingAndTravelPlan[Jun])</f>
        <v>4000</v>
      </c>
      <c r="I30" s="17">
        <f>SUBTOTAL(109,TrainingAndTravelPlan[Jul])</f>
        <v>4000</v>
      </c>
      <c r="J30" s="18">
        <f>SUBTOTAL(109,TrainingAndTravelPlan[Aug])</f>
        <v>4000</v>
      </c>
      <c r="K30" s="17">
        <f>SUBTOTAL(109,TrainingAndTravelPlan[Sep])</f>
        <v>4000</v>
      </c>
      <c r="L30" s="18">
        <f>SUBTOTAL(109,TrainingAndTravelPlan[Oct])</f>
        <v>4000</v>
      </c>
      <c r="M30" s="17">
        <f>SUBTOTAL(109,TrainingAndTravelPlan[Nov])</f>
        <v>4000</v>
      </c>
      <c r="N30" s="18">
        <f>SUBTOTAL(109,TrainingAndTravelPlan[Dec])</f>
        <v>4000</v>
      </c>
      <c r="O30" s="19">
        <f>SUBTOTAL(109,TrainingAndTravelPlan[YEAR])</f>
        <v>48000</v>
      </c>
    </row>
    <row r="31" spans="2:15" ht="35.1" customHeight="1" thickBot="1" x14ac:dyDescent="0.3">
      <c r="B31" s="16" t="s">
        <v>37</v>
      </c>
      <c r="C31" s="17" t="s">
        <v>1</v>
      </c>
      <c r="D31" s="18" t="s">
        <v>2</v>
      </c>
      <c r="E31" s="17" t="s">
        <v>3</v>
      </c>
      <c r="F31" s="18" t="s">
        <v>4</v>
      </c>
      <c r="G31" s="17" t="s">
        <v>5</v>
      </c>
      <c r="H31" s="18" t="s">
        <v>6</v>
      </c>
      <c r="I31" s="17" t="s">
        <v>7</v>
      </c>
      <c r="J31" s="18" t="s">
        <v>8</v>
      </c>
      <c r="K31" s="17" t="s">
        <v>9</v>
      </c>
      <c r="L31" s="18" t="s">
        <v>10</v>
      </c>
      <c r="M31" s="17" t="s">
        <v>11</v>
      </c>
      <c r="N31" s="18" t="s">
        <v>12</v>
      </c>
      <c r="O31" s="19" t="s">
        <v>58</v>
      </c>
    </row>
    <row r="32" spans="2:15" ht="35.1" customHeight="1" thickBot="1" x14ac:dyDescent="0.3">
      <c r="B32" s="16" t="s">
        <v>38</v>
      </c>
      <c r="C32" s="17">
        <f>TrainingAndTravelPlan[[#Totals],[Jan]]+MarketingPlan[[#Totals],[Jan]]+OfficePlan[[#Totals],[Jan]]+EmployeePlan[[#Totals],[Jan]]</f>
        <v>131420</v>
      </c>
      <c r="D32" s="18">
        <f>TrainingAndTravelPlan[[#Totals],[Feb]]+MarketingPlan[[#Totals],[Feb]]+OfficePlan[[#Totals],[Feb]]+EmployeePlan[[#Totals],[Feb]]</f>
        <v>126820</v>
      </c>
      <c r="E32" s="17">
        <f>TrainingAndTravelPlan[[#Totals],[Mar]]+MarketingPlan[[#Totals],[Mar]]+OfficePlan[[#Totals],[Mar]]+EmployeePlan[[#Totals],[Mar]]</f>
        <v>126820</v>
      </c>
      <c r="F32" s="18">
        <f>TrainingAndTravelPlan[[#Totals],[Apr]]+MarketingPlan[[#Totals],[Apr]]+OfficePlan[[#Totals],[Apr]]+EmployeePlan[[#Totals],[Apr]]</f>
        <v>137695</v>
      </c>
      <c r="G32" s="17">
        <f>TrainingAndTravelPlan[[#Totals],[May]]+MarketingPlan[[#Totals],[May]]+OfficePlan[[#Totals],[May]]+EmployeePlan[[#Totals],[May]]</f>
        <v>129695</v>
      </c>
      <c r="H32" s="18">
        <f>TrainingAndTravelPlan[[#Totals],[Jun]]+MarketingPlan[[#Totals],[Jun]]+OfficePlan[[#Totals],[Jun]]+EmployeePlan[[#Totals],[Jun]]</f>
        <v>130495</v>
      </c>
      <c r="I32" s="17">
        <f>TrainingAndTravelPlan[[#Totals],[Jul]]+MarketingPlan[[#Totals],[Jul]]+OfficePlan[[#Totals],[Jul]]+EmployeePlan[[#Totals],[Jul]]</f>
        <v>134695</v>
      </c>
      <c r="J32" s="18">
        <f>TrainingAndTravelPlan[[#Totals],[Aug]]+MarketingPlan[[#Totals],[Aug]]+OfficePlan[[#Totals],[Aug]]+EmployeePlan[[#Totals],[Aug]]</f>
        <v>138918</v>
      </c>
      <c r="K32" s="17">
        <f>TrainingAndTravelPlan[[#Totals],[Sep]]+MarketingPlan[[#Totals],[Sep]]+OfficePlan[[#Totals],[Sep]]+EmployeePlan[[#Totals],[Sep]]</f>
        <v>135918</v>
      </c>
      <c r="L32" s="18">
        <f>TrainingAndTravelPlan[[#Totals],[Oct]]+MarketingPlan[[#Totals],[Oct]]+OfficePlan[[#Totals],[Oct]]+EmployeePlan[[#Totals],[Oct]]</f>
        <v>140918</v>
      </c>
      <c r="M32" s="17">
        <f>TrainingAndTravelPlan[[#Totals],[Nov]]+MarketingPlan[[#Totals],[Nov]]+OfficePlan[[#Totals],[Nov]]+EmployeePlan[[#Totals],[Nov]]</f>
        <v>136218</v>
      </c>
      <c r="N32" s="18">
        <f>TrainingAndTravelPlan[[#Totals],[Dec]]+MarketingPlan[[#Totals],[Dec]]+OfficePlan[[#Totals],[Dec]]+EmployeePlan[[#Totals],[Dec]]</f>
        <v>140018</v>
      </c>
      <c r="O32" s="19">
        <f>TrainingAndTravelPlan[[#Totals],[YEAR]]+MarketingPlan[[#Totals],[YEAR]]+OfficePlan[[#Totals],[YEAR]]+EmployeePlan[[#Totals],[YEAR]]</f>
        <v>1609630</v>
      </c>
    </row>
    <row r="33" spans="2:15" ht="35.1" customHeight="1" thickBot="1" x14ac:dyDescent="0.3">
      <c r="B33" s="16" t="s">
        <v>39</v>
      </c>
      <c r="C33" s="17">
        <f>SUM($C$32:C32)</f>
        <v>131420</v>
      </c>
      <c r="D33" s="18">
        <f>SUM($C$32:D32)</f>
        <v>258240</v>
      </c>
      <c r="E33" s="17">
        <f>SUM($C$32:E32)</f>
        <v>385060</v>
      </c>
      <c r="F33" s="18">
        <f>SUM($C$32:F32)</f>
        <v>522755</v>
      </c>
      <c r="G33" s="17">
        <f>SUM($C$32:G32)</f>
        <v>652450</v>
      </c>
      <c r="H33" s="18">
        <f>SUM($C$32:H32)</f>
        <v>782945</v>
      </c>
      <c r="I33" s="17">
        <f>SUM($C$32:I32)</f>
        <v>917640</v>
      </c>
      <c r="J33" s="18">
        <f>SUM($C$32:J32)</f>
        <v>1056558</v>
      </c>
      <c r="K33" s="17">
        <f>SUM($C$32:K32)</f>
        <v>1192476</v>
      </c>
      <c r="L33" s="18">
        <f>SUM($C$32:L32)</f>
        <v>1333394</v>
      </c>
      <c r="M33" s="17">
        <f>SUM($C$32:M32)</f>
        <v>1469612</v>
      </c>
      <c r="N33" s="18">
        <f>SUM($C$32:N32)</f>
        <v>1609630</v>
      </c>
      <c r="O33" s="19"/>
    </row>
  </sheetData>
  <mergeCells count="2">
    <mergeCell ref="R4:T12"/>
    <mergeCell ref="B2:O2"/>
  </mergeCells>
  <dataValidations count="8">
    <dataValidation allowBlank="1" showInputMessage="1" showErrorMessage="1" prompt="Planned Expenses label is in cell at right, months in cells C4 through N4, Year label in O4, and How to use this template instructions in cell R4." sqref="A4" xr:uid="{FC1A50C5-6C61-4FA0-BFBA-2CC82DE4DC0B}"/>
    <dataValidation allowBlank="1" showInputMessage="1" showErrorMessage="1" prompt="Enter Employee Costs in Employee Plan table starting in cell at right. Next instruction is in cell A10." sqref="A5" xr:uid="{EED19FC0-ADDC-4580-BE69-2FEDE2EE49A6}"/>
    <dataValidation allowBlank="1" showInputMessage="1" showErrorMessage="1" prompt="Enter Office Costs in Office Plan table starting in cell at right. Next instruction is in cell A21." sqref="A9" xr:uid="{8C5477C2-13FC-4F55-AAB3-60246BBB7A64}"/>
    <dataValidation allowBlank="1" showInputMessage="1" showErrorMessage="1" prompt="Enter Marketing Costs in Marketing Plan table starting in cell at right. Next instruction is in cell A30." sqref="A19" xr:uid="{66411362-0BD5-4E49-BFA8-E0A0A55D07AD}"/>
    <dataValidation allowBlank="1" showInputMessage="1" showErrorMessage="1" prompt="Totals are auto calculated in Planned Total table starting in cell at right." sqref="A27" xr:uid="{6B0B8404-700F-48B3-AD96-0ED1CE7011E9}"/>
    <dataValidation allowBlank="1" showInputMessage="1" showErrorMessage="1" prompt="Enter Planned Employee Costs, Office Costs, Marketing Costs, and Training or Travel Cost in respective tables in this worksheet. Totals are auto calculated. Instructions on how to use this worksheet are in cells in this column. Arrow down to get started." sqref="A1" xr:uid="{C6D84CBA-4A3E-4161-9004-1D9F785E5541}"/>
    <dataValidation allowBlank="1" showInputMessage="1" showErrorMessage="1" prompt="Enter Company Name in cell at right and Logo in cell N2. Title of this worksheet is in cell K2." sqref="A2:A3" xr:uid="{B4473BB7-021E-4A63-A5F5-4234C1B5B724}"/>
    <dataValidation allowBlank="1" showInputMessage="1" showErrorMessage="1" prompt="Tip: HOW TO USE THIS TEMPLATE_x000a_Input data in the white cells on the PLANNED EXPENSES and ACTUAL EXPENSES worksheets, and the EXPENSE VARIANCES and EXPENSE ANALYSIS will be calculated for you.  If you add a row on one sheet, the other sheets need to match." sqref="R4:T12" xr:uid="{D85A6A5C-0DE6-4E23-8EF4-E4198877A2E2}"/>
  </dataValidations>
  <printOptions horizontalCentered="1"/>
  <pageMargins left="0.4" right="0.4" top="0.4" bottom="0.4" header="0.3" footer="0.3"/>
  <pageSetup scale="49" fitToHeight="0" orientation="landscape" r:id="rId1"/>
  <headerFooter differentFirst="1">
    <oddFooter>Page &amp;P of &amp;N</oddFooter>
  </headerFooter>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fitToPage="1"/>
  </sheetPr>
  <dimension ref="A1:P36"/>
  <sheetViews>
    <sheetView showGridLines="0" zoomScaleNormal="100" workbookViewId="0">
      <selection activeCell="I5" sqref="I5"/>
    </sheetView>
  </sheetViews>
  <sheetFormatPr defaultColWidth="9.140625" defaultRowHeight="18.75" x14ac:dyDescent="0.3"/>
  <cols>
    <col min="1" max="1" width="4.7109375" style="25" customWidth="1"/>
    <col min="2" max="2" width="26.28515625" style="26" customWidth="1"/>
    <col min="3" max="3" width="23.28515625" style="26" customWidth="1"/>
    <col min="4" max="4" width="24.28515625" style="26" customWidth="1"/>
    <col min="5" max="5" width="23" style="26" customWidth="1"/>
    <col min="6" max="6" width="24.5703125" style="26" customWidth="1"/>
    <col min="7" max="7" width="4.7109375" style="3" customWidth="1"/>
    <col min="8" max="8" width="9" style="8" customWidth="1"/>
    <col min="9" max="16384" width="9.140625" style="26"/>
  </cols>
  <sheetData>
    <row r="1" spans="1:16" s="3" customFormat="1" ht="24" customHeight="1" x14ac:dyDescent="0.3">
      <c r="A1" s="21"/>
      <c r="B1" s="2"/>
      <c r="C1" s="2"/>
      <c r="D1" s="2"/>
      <c r="E1" s="2"/>
      <c r="F1" s="2"/>
      <c r="G1" s="2" t="s">
        <v>44</v>
      </c>
      <c r="I1" s="8"/>
      <c r="J1" s="8"/>
      <c r="K1" s="8"/>
      <c r="L1" s="8"/>
      <c r="M1" s="8"/>
      <c r="N1" s="8"/>
      <c r="O1" s="8"/>
      <c r="P1" s="8" t="s">
        <v>44</v>
      </c>
    </row>
    <row r="2" spans="1:16" s="3" customFormat="1" ht="45" customHeight="1" x14ac:dyDescent="0.3">
      <c r="A2" s="21"/>
      <c r="B2" s="4" t="str">
        <f>'PLANNED EXPENSES'!B2:D2</f>
        <v>FINANCIAL BUDGET</v>
      </c>
      <c r="C2" s="4"/>
      <c r="D2" s="4"/>
      <c r="E2" s="4"/>
      <c r="F2" s="4"/>
      <c r="G2" s="22"/>
      <c r="I2" s="8"/>
      <c r="J2" s="8"/>
      <c r="K2" s="8"/>
      <c r="L2" s="8"/>
      <c r="M2" s="8"/>
      <c r="N2" s="8"/>
      <c r="O2" s="8"/>
      <c r="P2" s="8"/>
    </row>
    <row r="3" spans="1:16" s="8" customFormat="1" ht="18.75" customHeight="1" x14ac:dyDescent="0.3">
      <c r="A3" s="23"/>
      <c r="B3" s="24"/>
      <c r="C3" s="24"/>
      <c r="D3" s="24"/>
      <c r="E3" s="24"/>
      <c r="F3" s="24"/>
      <c r="G3" s="24"/>
    </row>
    <row r="4" spans="1:16" ht="24.95" customHeight="1" thickBot="1" x14ac:dyDescent="0.35">
      <c r="B4" s="35" t="s">
        <v>42</v>
      </c>
      <c r="C4" s="35" t="s">
        <v>0</v>
      </c>
      <c r="D4" s="35" t="s">
        <v>40</v>
      </c>
      <c r="E4" s="35" t="s">
        <v>41</v>
      </c>
      <c r="F4" s="35" t="s">
        <v>43</v>
      </c>
      <c r="I4" s="8"/>
      <c r="J4" s="8"/>
      <c r="K4" s="8"/>
      <c r="L4" s="8"/>
      <c r="M4" s="8"/>
      <c r="N4" s="8"/>
      <c r="O4" s="8"/>
      <c r="P4" s="8"/>
    </row>
    <row r="5" spans="1:16" ht="24.95" customHeight="1" thickBot="1" x14ac:dyDescent="0.35">
      <c r="A5" s="27"/>
      <c r="B5" s="36" t="s">
        <v>14</v>
      </c>
      <c r="C5" s="37">
        <f>EmployeePlan[[#Totals],[YEAR]]</f>
        <v>1355090</v>
      </c>
      <c r="D5" s="37"/>
      <c r="E5" s="37"/>
      <c r="F5" s="38"/>
    </row>
    <row r="6" spans="1:16" ht="24.95" customHeight="1" thickBot="1" x14ac:dyDescent="0.35">
      <c r="B6" s="36" t="str">
        <f>'PLANNED EXPENSES'!B9</f>
        <v>Office Costs</v>
      </c>
      <c r="C6" s="37">
        <f>OfficePlan[[#Totals],[YEAR]]</f>
        <v>138740</v>
      </c>
      <c r="D6" s="37"/>
      <c r="E6" s="37"/>
      <c r="F6" s="38"/>
    </row>
    <row r="7" spans="1:16" ht="24.95" customHeight="1" thickBot="1" x14ac:dyDescent="0.35">
      <c r="B7" s="39" t="str">
        <f>'PLANNED EXPENSES'!B19</f>
        <v>Marketing Costs</v>
      </c>
      <c r="C7" s="37">
        <f>MarketingPlan[[#Totals],[YEAR]]</f>
        <v>67800</v>
      </c>
      <c r="D7" s="37"/>
      <c r="E7" s="37"/>
      <c r="F7" s="38"/>
    </row>
    <row r="8" spans="1:16" ht="24.95" customHeight="1" thickBot="1" x14ac:dyDescent="0.35">
      <c r="B8" s="39" t="str">
        <f>'PLANNED EXPENSES'!B27</f>
        <v>Training/Travel</v>
      </c>
      <c r="C8" s="37">
        <f>TrainingAndTravelPlan[[#Totals],[YEAR]]</f>
        <v>48000</v>
      </c>
      <c r="D8" s="37"/>
      <c r="E8" s="37"/>
      <c r="F8" s="38"/>
    </row>
    <row r="9" spans="1:16" ht="24.95" customHeight="1" thickBot="1" x14ac:dyDescent="0.35">
      <c r="B9" s="40" t="str">
        <f>'PLANNED EXPENSES'!B31</f>
        <v>TOTALS</v>
      </c>
      <c r="C9" s="9">
        <f>'PLANNED EXPENSES'!O32</f>
        <v>1609630</v>
      </c>
      <c r="D9" s="9"/>
      <c r="E9" s="9"/>
      <c r="F9" s="10"/>
    </row>
    <row r="10" spans="1:16" x14ac:dyDescent="0.3">
      <c r="B10" s="28"/>
      <c r="C10" s="29"/>
      <c r="D10" s="29"/>
      <c r="E10" s="29"/>
      <c r="F10" s="30"/>
    </row>
    <row r="11" spans="1:16" ht="300" customHeight="1" x14ac:dyDescent="0.3">
      <c r="B11" s="31"/>
      <c r="C11" s="31"/>
      <c r="D11" s="31"/>
      <c r="E11" s="31"/>
      <c r="F11" s="31"/>
      <c r="G11" s="24"/>
    </row>
    <row r="12" spans="1:16" ht="18.75" customHeight="1" x14ac:dyDescent="0.3">
      <c r="B12" s="32"/>
    </row>
    <row r="13" spans="1:16" x14ac:dyDescent="0.3">
      <c r="B13" s="32"/>
      <c r="C13" s="33"/>
      <c r="D13" s="33"/>
      <c r="E13" s="33"/>
      <c r="F13" s="33"/>
    </row>
    <row r="14" spans="1:16" x14ac:dyDescent="0.3">
      <c r="B14" s="32"/>
      <c r="C14" s="33"/>
      <c r="D14" s="33"/>
      <c r="E14" s="33"/>
      <c r="F14" s="33"/>
    </row>
    <row r="15" spans="1:16" x14ac:dyDescent="0.3">
      <c r="B15" s="32"/>
      <c r="C15" s="33"/>
      <c r="D15" s="33"/>
      <c r="E15" s="33"/>
      <c r="F15" s="33"/>
    </row>
    <row r="16" spans="1:16" x14ac:dyDescent="0.3">
      <c r="B16" s="32"/>
      <c r="C16" s="33"/>
      <c r="D16" s="33"/>
      <c r="E16" s="33"/>
      <c r="F16" s="33"/>
    </row>
    <row r="17" spans="2:6" x14ac:dyDescent="0.3">
      <c r="B17" s="32"/>
      <c r="C17" s="33"/>
      <c r="D17" s="33"/>
      <c r="E17" s="33"/>
      <c r="F17" s="33"/>
    </row>
    <row r="18" spans="2:6" x14ac:dyDescent="0.3">
      <c r="B18" s="33"/>
      <c r="C18" s="33"/>
      <c r="D18" s="33"/>
      <c r="E18" s="33"/>
      <c r="F18" s="33"/>
    </row>
    <row r="19" spans="2:6" x14ac:dyDescent="0.3">
      <c r="B19" s="33"/>
      <c r="C19" s="33"/>
      <c r="D19" s="33"/>
      <c r="E19" s="33"/>
      <c r="F19" s="33"/>
    </row>
    <row r="20" spans="2:6" x14ac:dyDescent="0.3">
      <c r="B20" s="33"/>
      <c r="C20" s="33"/>
      <c r="D20" s="33"/>
      <c r="E20" s="33"/>
      <c r="F20" s="33"/>
    </row>
    <row r="21" spans="2:6" x14ac:dyDescent="0.3">
      <c r="B21" s="32"/>
      <c r="C21" s="33"/>
      <c r="D21" s="33"/>
      <c r="E21" s="33"/>
      <c r="F21" s="33"/>
    </row>
    <row r="22" spans="2:6" x14ac:dyDescent="0.3">
      <c r="B22" s="32"/>
      <c r="C22" s="33"/>
      <c r="D22" s="33"/>
      <c r="E22" s="33"/>
      <c r="F22" s="33"/>
    </row>
    <row r="23" spans="2:6" x14ac:dyDescent="0.3">
      <c r="B23" s="32"/>
      <c r="C23" s="33"/>
      <c r="D23" s="33"/>
      <c r="E23" s="33"/>
      <c r="F23" s="33"/>
    </row>
    <row r="24" spans="2:6" x14ac:dyDescent="0.3">
      <c r="B24" s="32"/>
      <c r="C24" s="33"/>
      <c r="D24" s="33"/>
      <c r="E24" s="33"/>
      <c r="F24" s="33"/>
    </row>
    <row r="25" spans="2:6" x14ac:dyDescent="0.3">
      <c r="B25" s="32"/>
      <c r="C25" s="33"/>
      <c r="D25" s="33"/>
      <c r="E25" s="33"/>
      <c r="F25" s="33"/>
    </row>
    <row r="26" spans="2:6" x14ac:dyDescent="0.3">
      <c r="B26" s="32"/>
      <c r="C26" s="33"/>
      <c r="D26" s="33"/>
      <c r="E26" s="33"/>
      <c r="F26" s="33"/>
    </row>
    <row r="27" spans="2:6" x14ac:dyDescent="0.3">
      <c r="B27" s="33"/>
      <c r="C27" s="33"/>
      <c r="D27" s="33"/>
      <c r="E27" s="33"/>
      <c r="F27" s="33"/>
    </row>
    <row r="28" spans="2:6" x14ac:dyDescent="0.3">
      <c r="B28" s="33"/>
      <c r="C28" s="33"/>
      <c r="D28" s="33"/>
      <c r="E28" s="33"/>
      <c r="F28" s="33"/>
    </row>
    <row r="29" spans="2:6" x14ac:dyDescent="0.3">
      <c r="B29" s="33"/>
      <c r="C29" s="33"/>
      <c r="D29" s="33"/>
      <c r="E29" s="33"/>
      <c r="F29" s="33"/>
    </row>
    <row r="30" spans="2:6" x14ac:dyDescent="0.3">
      <c r="B30" s="32"/>
      <c r="C30" s="33"/>
      <c r="D30" s="33"/>
      <c r="E30" s="33"/>
      <c r="F30" s="33"/>
    </row>
    <row r="31" spans="2:6" x14ac:dyDescent="0.3">
      <c r="B31" s="32"/>
      <c r="C31" s="33"/>
      <c r="D31" s="33"/>
      <c r="E31" s="33"/>
      <c r="F31" s="33"/>
    </row>
    <row r="32" spans="2:6" x14ac:dyDescent="0.3">
      <c r="B32" s="33"/>
      <c r="C32" s="33"/>
      <c r="D32" s="33"/>
      <c r="E32" s="33"/>
      <c r="F32" s="33"/>
    </row>
    <row r="33" spans="2:6" x14ac:dyDescent="0.3">
      <c r="B33" s="33"/>
      <c r="C33" s="33"/>
      <c r="D33" s="33"/>
      <c r="E33" s="33"/>
      <c r="F33" s="33"/>
    </row>
    <row r="34" spans="2:6" x14ac:dyDescent="0.3">
      <c r="B34" s="33"/>
      <c r="C34" s="33"/>
      <c r="D34" s="33"/>
      <c r="E34" s="33"/>
      <c r="F34" s="33"/>
    </row>
    <row r="35" spans="2:6" x14ac:dyDescent="0.3">
      <c r="B35" s="34"/>
      <c r="C35" s="33"/>
      <c r="D35" s="33"/>
      <c r="E35" s="33"/>
      <c r="F35" s="33"/>
    </row>
    <row r="36" spans="2:6" x14ac:dyDescent="0.3">
      <c r="B36" s="34"/>
      <c r="C36" s="33"/>
      <c r="D36" s="33"/>
      <c r="E36" s="33"/>
      <c r="F36" s="33"/>
    </row>
  </sheetData>
  <mergeCells count="2">
    <mergeCell ref="B11:F11"/>
    <mergeCell ref="B2:F2"/>
  </mergeCells>
  <dataValidations count="7">
    <dataValidation allowBlank="1" showInputMessage="1" showErrorMessage="1" prompt="Pie chart showing planned expenses on various categories is in this cell." sqref="B11:F11" xr:uid="{B2131E0D-FC0E-41E0-A823-1146E5092945}"/>
    <dataValidation allowBlank="1" showInputMessage="1" showErrorMessage="1" prompt="Annual Planned and Actual Expenses, Expense Variances, and Variance Percentage are auto updated for each Expense Category in this worksheet. Helpful instructions on how to use this worksheet are in cells in this column. Arrow down to get started. " sqref="A1" xr:uid="{2B6B986C-CF09-4535-B287-5D9961D543F9}"/>
    <dataValidation allowBlank="1" showInputMessage="1" showErrorMessage="1" prompt="Company Name is auto updated in cell at right. Enter Logo in cell F2." sqref="A2" xr:uid="{54F690A8-E3B2-49FE-B037-4CB57E2B08A1}"/>
    <dataValidation allowBlank="1" showInputMessage="1" showErrorMessage="1" prompt="Planned Expenses, Actual Expenses, Expense Variance, and Variance Percentage are auto calculated in Analysis table starting in cell at right. Next instruction is in cell A12." sqref="A4" xr:uid="{17A4F301-0551-4056-B357-1FCC3532C5BE}"/>
    <dataValidation allowBlank="1" showInputMessage="1" showErrorMessage="1" prompt="Planned Expenses pie chart is in cell at right and Actual Expenses pie chart in cell D12. Next instruction is in cell A14." sqref="A11" xr:uid="{FE13E92D-A1BA-4BB9-9C16-0CDEB5285C6E}"/>
    <dataValidation allowBlank="1" showInputMessage="1" showErrorMessage="1" prompt="Chart showing Planned, Actual, and Variance in Monthly Expenses is in cell at right." sqref="A13" xr:uid="{A5F374DB-643C-44A4-B534-F79A39786B80}"/>
    <dataValidation allowBlank="1" showInputMessage="1" showErrorMessage="1" prompt="Logo placeholder is in this cell." sqref="G2" xr:uid="{831A4984-168B-4337-BAEA-80B7246F2962}"/>
  </dataValidations>
  <printOptions horizontalCentered="1"/>
  <pageMargins left="0.4" right="0.4" top="0.4" bottom="0.4" header="0.3" footer="0.3"/>
  <pageSetup scale="59" orientation="landscape" r:id="rId1"/>
  <ignoredErrors>
    <ignoredError sqref="B2"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3F0F1A-F818-48F9-BE67-B9DBEFF91A62}">
  <ds:schemaRefs>
    <ds:schemaRef ds:uri="http://schemas.microsoft.com/sharepoint/v3"/>
    <ds:schemaRef ds:uri="http://schemas.microsoft.com/office/2006/documentManagement/types"/>
    <ds:schemaRef ds:uri="http://purl.org/dc/terms/"/>
    <ds:schemaRef ds:uri="71af3243-3dd4-4a8d-8c0d-dd76da1f02a5"/>
    <ds:schemaRef ds:uri="http://schemas.microsoft.com/office/infopath/2007/PartnerControls"/>
    <ds:schemaRef ds:uri="http://schemas.openxmlformats.org/package/2006/metadata/core-properties"/>
    <ds:schemaRef ds:uri="http://www.w3.org/XML/1998/namespace"/>
    <ds:schemaRef ds:uri="http://purl.org/dc/elements/1.1/"/>
    <ds:schemaRef ds:uri="http://purl.org/dc/dcmitype/"/>
    <ds:schemaRef ds:uri="230e9df3-be65-4c73-a93b-d1236ebd677e"/>
    <ds:schemaRef ds:uri="16c05727-aa75-4e4a-9b5f-8a80a1165891"/>
    <ds:schemaRef ds:uri="http://schemas.microsoft.com/office/2006/metadata/properties"/>
  </ds:schemaRefs>
</ds:datastoreItem>
</file>

<file path=customXml/itemProps2.xml><?xml version="1.0" encoding="utf-8"?>
<ds:datastoreItem xmlns:ds="http://schemas.openxmlformats.org/officeDocument/2006/customXml" ds:itemID="{69CB1A22-CE44-4532-A0DB-84194B783BC7}">
  <ds:schemaRefs>
    <ds:schemaRef ds:uri="http://schemas.microsoft.com/sharepoint/v3/contenttype/forms"/>
  </ds:schemaRefs>
</ds:datastoreItem>
</file>

<file path=customXml/itemProps3.xml><?xml version="1.0" encoding="utf-8"?>
<ds:datastoreItem xmlns:ds="http://schemas.openxmlformats.org/officeDocument/2006/customXml" ds:itemID="{7C5DBCFF-B01D-443B-958D-5BBBD3E2E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TM04035489</Templat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PLANNED EXPENSES</vt:lpstr>
      <vt:lpstr>EXPENSE ANALYSIS</vt:lpstr>
      <vt:lpstr>'EXPENSE ANALYSIS'!Print_Area</vt:lpstr>
      <vt:lpstr>worksheet_title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2022-02-14T06:36:37Z</dcterms:created>
  <dcterms:modified xsi:type="dcterms:W3CDTF">2022-10-18T19:54:39Z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