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74C9005C-7DD4-4B98-B1BB-6EEF3AF8903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ERSONAL BUDGET" sheetId="1" r:id="rId1"/>
  </sheets>
  <definedNames>
    <definedName name="LastCol">COUNTA('PERSONAL BUDGET'!$5:$5)+1</definedName>
    <definedName name="_xlnm.Print_Area" localSheetId="0">'PERSONAL BUDGET'!$A$1:$O$62</definedName>
    <definedName name="PrintArea_SET">OFFSET('PERSONAL BUDGET'!$A$3,,,MATCH(REPT("z",255),'PERSONAL BUDGET'!$A:$A),LastCol)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  <c r="N13" i="1" l="1"/>
  <c r="N14" i="1"/>
  <c r="C58" i="1" l="1"/>
  <c r="D58" i="1"/>
  <c r="E58" i="1"/>
  <c r="F58" i="1"/>
  <c r="G58" i="1"/>
  <c r="H58" i="1"/>
  <c r="I58" i="1"/>
  <c r="J58" i="1"/>
  <c r="K58" i="1"/>
  <c r="L58" i="1"/>
  <c r="M58" i="1"/>
  <c r="B58" i="1"/>
  <c r="C54" i="1"/>
  <c r="D54" i="1"/>
  <c r="E54" i="1"/>
  <c r="F54" i="1"/>
  <c r="G54" i="1"/>
  <c r="H54" i="1"/>
  <c r="I54" i="1"/>
  <c r="J54" i="1"/>
  <c r="K54" i="1"/>
  <c r="L54" i="1"/>
  <c r="M54" i="1"/>
  <c r="B54" i="1"/>
  <c r="C49" i="1"/>
  <c r="D49" i="1"/>
  <c r="E49" i="1"/>
  <c r="F49" i="1"/>
  <c r="G49" i="1"/>
  <c r="H49" i="1"/>
  <c r="I49" i="1"/>
  <c r="J49" i="1"/>
  <c r="K49" i="1"/>
  <c r="L49" i="1"/>
  <c r="M49" i="1"/>
  <c r="B49" i="1"/>
  <c r="C44" i="1"/>
  <c r="D44" i="1"/>
  <c r="E44" i="1"/>
  <c r="F44" i="1"/>
  <c r="G44" i="1"/>
  <c r="H44" i="1"/>
  <c r="I44" i="1"/>
  <c r="J44" i="1"/>
  <c r="K44" i="1"/>
  <c r="L44" i="1"/>
  <c r="M44" i="1"/>
  <c r="B44" i="1"/>
  <c r="C39" i="1"/>
  <c r="D39" i="1"/>
  <c r="E39" i="1"/>
  <c r="F39" i="1"/>
  <c r="G39" i="1"/>
  <c r="H39" i="1"/>
  <c r="I39" i="1"/>
  <c r="J39" i="1"/>
  <c r="K39" i="1"/>
  <c r="L39" i="1"/>
  <c r="M39" i="1"/>
  <c r="B39" i="1"/>
  <c r="C34" i="1"/>
  <c r="D34" i="1"/>
  <c r="E34" i="1"/>
  <c r="F34" i="1"/>
  <c r="G34" i="1"/>
  <c r="H34" i="1"/>
  <c r="I34" i="1"/>
  <c r="J34" i="1"/>
  <c r="K34" i="1"/>
  <c r="L34" i="1"/>
  <c r="M34" i="1"/>
  <c r="B34" i="1"/>
  <c r="N57" i="1"/>
  <c r="N52" i="1"/>
  <c r="N53" i="1"/>
  <c r="N47" i="1"/>
  <c r="N48" i="1"/>
  <c r="N43" i="1"/>
  <c r="N42" i="1"/>
  <c r="N38" i="1"/>
  <c r="N37" i="1"/>
  <c r="N33" i="1"/>
  <c r="N32" i="1"/>
  <c r="C29" i="1"/>
  <c r="D29" i="1"/>
  <c r="E29" i="1"/>
  <c r="F29" i="1"/>
  <c r="G29" i="1"/>
  <c r="H29" i="1"/>
  <c r="I29" i="1"/>
  <c r="J29" i="1"/>
  <c r="K29" i="1"/>
  <c r="L29" i="1"/>
  <c r="M29" i="1"/>
  <c r="B29" i="1"/>
  <c r="N28" i="1"/>
  <c r="C25" i="1"/>
  <c r="D25" i="1"/>
  <c r="E25" i="1"/>
  <c r="F25" i="1"/>
  <c r="G25" i="1"/>
  <c r="H25" i="1"/>
  <c r="I25" i="1"/>
  <c r="J25" i="1"/>
  <c r="K25" i="1"/>
  <c r="L25" i="1"/>
  <c r="M25" i="1"/>
  <c r="B25" i="1"/>
  <c r="N24" i="1"/>
  <c r="N23" i="1"/>
  <c r="C20" i="1"/>
  <c r="D20" i="1"/>
  <c r="E20" i="1"/>
  <c r="F20" i="1"/>
  <c r="G20" i="1"/>
  <c r="H20" i="1"/>
  <c r="I20" i="1"/>
  <c r="J20" i="1"/>
  <c r="K20" i="1"/>
  <c r="L20" i="1"/>
  <c r="M20" i="1"/>
  <c r="B20" i="1"/>
  <c r="N19" i="1"/>
  <c r="N18" i="1"/>
  <c r="C15" i="1"/>
  <c r="D15" i="1"/>
  <c r="K15" i="1"/>
  <c r="L15" i="1"/>
  <c r="M15" i="1"/>
  <c r="B15" i="1"/>
  <c r="N29" i="1" l="1"/>
  <c r="N58" i="1"/>
  <c r="N54" i="1"/>
  <c r="N49" i="1"/>
  <c r="N44" i="1"/>
  <c r="N39" i="1"/>
  <c r="N34" i="1"/>
  <c r="N25" i="1"/>
  <c r="N20" i="1"/>
  <c r="N15" i="1"/>
  <c r="M9" i="1"/>
  <c r="E9" i="1"/>
  <c r="J9" i="1"/>
  <c r="L9" i="1"/>
  <c r="D9" i="1"/>
  <c r="C9" i="1"/>
  <c r="G9" i="1"/>
  <c r="F9" i="1"/>
  <c r="B9" i="1"/>
  <c r="K9" i="1"/>
  <c r="I9" i="1"/>
  <c r="N8" i="1"/>
  <c r="H9" i="1"/>
  <c r="N7" i="1"/>
  <c r="N9" i="1" l="1"/>
</calcChain>
</file>

<file path=xl/sharedStrings.xml><?xml version="1.0" encoding="utf-8"?>
<sst xmlns="http://schemas.openxmlformats.org/spreadsheetml/2006/main" count="245" uniqueCount="66">
  <si>
    <t>Wages</t>
  </si>
  <si>
    <t xml:space="preserve">Groceries </t>
  </si>
  <si>
    <t>Child care</t>
  </si>
  <si>
    <t>Gas/fuel</t>
  </si>
  <si>
    <t>Insurance</t>
  </si>
  <si>
    <t>Public transportation</t>
  </si>
  <si>
    <t>Cable TV</t>
  </si>
  <si>
    <t>Health club dues</t>
  </si>
  <si>
    <t>Plane fare</t>
  </si>
  <si>
    <t>Rental car</t>
  </si>
  <si>
    <t>Gym fees</t>
  </si>
  <si>
    <t>Toys/child gear</t>
  </si>
  <si>
    <t>Newspapers</t>
  </si>
  <si>
    <t>Charity</t>
  </si>
  <si>
    <t>Gifts</t>
  </si>
  <si>
    <t>Music (CDs, etc.)</t>
  </si>
  <si>
    <t>Long-term savings</t>
  </si>
  <si>
    <t>Total expenses</t>
  </si>
  <si>
    <t>Cash short/extra</t>
  </si>
  <si>
    <t>Total</t>
  </si>
  <si>
    <t>INCOME</t>
  </si>
  <si>
    <t>EXPENSES</t>
  </si>
  <si>
    <t>HOME</t>
  </si>
  <si>
    <t>TRANSPORTATION</t>
  </si>
  <si>
    <t>DAILY LIVING</t>
  </si>
  <si>
    <t>ENTERTAINMENT</t>
  </si>
  <si>
    <t>HEALTH</t>
  </si>
  <si>
    <t>VACATIONS</t>
  </si>
  <si>
    <t>RECREATION</t>
  </si>
  <si>
    <t>PERSONAL</t>
  </si>
  <si>
    <t>TOTALS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</si>
  <si>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</si>
  <si>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</si>
  <si>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</si>
  <si>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</si>
  <si>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</si>
  <si>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</si>
  <si>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</si>
  <si>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</si>
  <si>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</si>
  <si>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</si>
  <si>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</si>
  <si>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</si>
  <si>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</si>
  <si>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REVENUE</t>
  </si>
  <si>
    <t>Mortgage</t>
  </si>
  <si>
    <t>Interest/Dividends</t>
  </si>
  <si>
    <t>March</t>
  </si>
  <si>
    <t>April</t>
  </si>
  <si>
    <t>May</t>
  </si>
  <si>
    <t>June</t>
  </si>
  <si>
    <t>July</t>
  </si>
  <si>
    <t>Year</t>
  </si>
  <si>
    <t>January</t>
  </si>
  <si>
    <t>February</t>
  </si>
  <si>
    <t>August</t>
  </si>
  <si>
    <t>September</t>
  </si>
  <si>
    <t>October</t>
  </si>
  <si>
    <t>November</t>
  </si>
  <si>
    <t>December</t>
  </si>
  <si>
    <t>Sparkline</t>
  </si>
  <si>
    <t>SPARKLINE</t>
  </si>
  <si>
    <t>Date:</t>
  </si>
  <si>
    <t xml:space="preserve">FINANCIAL </t>
  </si>
  <si>
    <t>DUES</t>
  </si>
  <si>
    <t xml:space="preserve">PERSONAL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</si>
</sst>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0" x14ac:knownFonts="1">
    <font>
      <sz val="10"/>
      <color theme="1" tint="0.14993743705557422"/>
      <name val="verdana"/>
      <family val="2"/>
      <scheme val="minor"/>
    </font>
    <font>
      <b/>
      <sz val="10"/>
      <color theme="1" tint="0.14990691854609822"/>
      <name val="Gill Sans MT"/>
      <family val="2"/>
      <scheme val="major"/>
    </font>
    <font>
      <sz val="11"/>
      <color theme="1" tint="0.14993743705557422"/>
      <name val="Gill Sans MT"/>
      <family val="2"/>
      <scheme val="major"/>
    </font>
    <font>
      <sz val="22"/>
      <color theme="1" tint="0.14993743705557422"/>
      <name val="Gill Sans MT"/>
      <family val="2"/>
      <scheme val="major"/>
    </font>
    <font>
      <sz val="10"/>
      <color theme="1" tint="4.9989318521683403E-2"/>
      <name val="Century Gothic"/>
      <family val="2"/>
    </font>
    <font>
      <sz val="11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sz val="12"/>
      <color theme="1" tint="4.9989318521683403E-2"/>
      <name val="Century Gothic"/>
      <family val="2"/>
    </font>
    <font>
      <b/>
      <sz val="28"/>
      <color theme="1" tint="4.9989318521683403E-2"/>
      <name val="Century Gothic"/>
      <family val="2"/>
    </font>
    <font>
      <b/>
      <sz val="16"/>
      <color theme="1" tint="4.9989318521683403E-2"/>
      <name val="Century Gothic"/>
      <family val="2"/>
    </font>
    <font>
      <b/>
      <sz val="14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2"/>
      <color theme="1"/>
      <name val="Century Gothic"/>
      <family val="2"/>
    </font>
    <font>
      <b/>
      <sz val="18"/>
      <color theme="1" tint="4.9989318521683403E-2"/>
      <name val="Century Gothic"/>
      <family val="2"/>
    </font>
    <font>
      <sz val="18"/>
      <color theme="1" tint="4.9989318521683403E-2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20"/>
      <color theme="1" tint="4.9989318521683403E-2"/>
      <name val="Century Gothic"/>
      <family val="2"/>
    </font>
    <font>
      <sz val="20"/>
      <color theme="1" tint="4.9989318521683403E-2"/>
      <name val="Century Gothic"/>
      <family val="2"/>
    </font>
    <font>
      <b/>
      <sz val="72"/>
      <color theme="0"/>
      <name val="Century Gothic"/>
      <family val="2"/>
    </font>
  </fonts>
  <fills count="8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ck">
        <color theme="6" tint="0.39994506668294322"/>
      </top>
      <bottom style="thick">
        <color theme="6" tint="0.39991454817346722"/>
      </bottom>
      <diagonal/>
    </border>
    <border>
      <left/>
      <right/>
      <top style="thick">
        <color theme="6" tint="0.39994506668294322"/>
      </top>
      <bottom style="thick">
        <color theme="6" tint="0.39994506668294322"/>
      </bottom>
      <diagonal/>
    </border>
    <border>
      <left/>
      <right/>
      <top style="double">
        <color theme="6" tint="0.39991454817346722"/>
      </top>
      <bottom style="double">
        <color theme="6" tint="0.39991454817346722"/>
      </bottom>
      <diagonal/>
    </border>
    <border>
      <left/>
      <right/>
      <top style="dashed">
        <color theme="6" tint="0.39994506668294322"/>
      </top>
      <bottom style="dashed">
        <color theme="6" tint="0.39994506668294322"/>
      </bottom>
      <diagonal/>
    </border>
    <border>
      <left/>
      <right/>
      <top style="thin">
        <color theme="6" tint="0.39997558519241921"/>
      </top>
      <bottom style="dashed">
        <color theme="6" tint="0.39994506668294322"/>
      </bottom>
      <diagonal/>
    </border>
    <border>
      <left/>
      <right/>
      <top/>
      <bottom style="double">
        <color theme="6" tint="0.39994506668294322"/>
      </bottom>
      <diagonal/>
    </border>
    <border>
      <left/>
      <right/>
      <top style="double">
        <color theme="6" tint="0.39994506668294322"/>
      </top>
      <bottom/>
      <diagonal/>
    </border>
    <border>
      <left/>
      <right/>
      <top style="thick">
        <color theme="6" tint="0.39991454817346722"/>
      </top>
      <bottom style="thick">
        <color theme="6" tint="0.39988402966399123"/>
      </bottom>
      <diagonal/>
    </border>
  </borders>
  <cellStyleXfs count="5">
    <xf numFmtId="0" fontId="0" fillId="6" borderId="0">
      <alignment vertical="center"/>
    </xf>
    <xf numFmtId="0" fontId="3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1" fillId="3" borderId="0" applyNumberFormat="0" applyProtection="0">
      <alignment horizontal="left" vertical="center" indent="1"/>
    </xf>
    <xf numFmtId="0" fontId="1" fillId="2" borderId="0" applyNumberFormat="0" applyProtection="0">
      <alignment vertical="center"/>
    </xf>
  </cellStyleXfs>
  <cellXfs count="57">
    <xf numFmtId="0" fontId="0" fillId="6" borderId="0" xfId="0">
      <alignment vertical="center"/>
    </xf>
    <xf numFmtId="0" fontId="4" fillId="5" borderId="0" xfId="0" applyFont="1" applyFill="1" applyBorder="1">
      <alignment vertical="center"/>
    </xf>
    <xf numFmtId="0" fontId="11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 indent="1"/>
    </xf>
    <xf numFmtId="0" fontId="14" fillId="5" borderId="2" xfId="0" applyFont="1" applyFill="1" applyBorder="1" applyAlignment="1">
      <alignment horizontal="center" vertical="center"/>
    </xf>
    <xf numFmtId="0" fontId="14" fillId="5" borderId="0" xfId="0" applyFont="1" applyFill="1" applyBorder="1">
      <alignment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>
      <alignment vertical="center"/>
    </xf>
    <xf numFmtId="0" fontId="10" fillId="5" borderId="0" xfId="0" applyFont="1" applyFill="1" applyBorder="1">
      <alignment vertical="center"/>
    </xf>
    <xf numFmtId="0" fontId="11" fillId="5" borderId="0" xfId="0" applyFont="1" applyFill="1" applyBorder="1">
      <alignment vertical="center"/>
    </xf>
    <xf numFmtId="0" fontId="4" fillId="5" borderId="0" xfId="0" applyFont="1" applyFill="1" applyBorder="1">
      <alignment vertical="center"/>
    </xf>
    <xf numFmtId="0" fontId="11" fillId="5" borderId="0" xfId="0" applyFont="1" applyFill="1" applyBorder="1" applyAlignment="1">
      <alignment horizontal="left" vertical="center" indent="1"/>
    </xf>
    <xf numFmtId="164" fontId="11" fillId="5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>
      <alignment vertical="center"/>
    </xf>
    <xf numFmtId="0" fontId="4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left" vertical="center" indent="1"/>
    </xf>
    <xf numFmtId="164" fontId="12" fillId="5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10" fillId="0" borderId="4" xfId="0" applyFont="1" applyFill="1" applyBorder="1" applyAlignment="1">
      <alignment horizontal="left" vertical="center" indent="1"/>
    </xf>
    <xf numFmtId="164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 indent="1"/>
    </xf>
    <xf numFmtId="164" fontId="7" fillId="5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Border="1" applyAlignment="1">
      <alignment horizontal="center" vertical="center"/>
    </xf>
    <xf numFmtId="0" fontId="11" fillId="5" borderId="0" xfId="3" applyFont="1" applyFill="1" applyBorder="1">
      <alignment horizontal="left" vertical="center" indent="1"/>
    </xf>
    <xf numFmtId="164" fontId="7" fillId="0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inden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5" fillId="0" borderId="4" xfId="0" applyFont="1" applyFill="1" applyBorder="1" applyAlignment="1">
      <alignment horizontal="left" vertical="center" indent="1"/>
    </xf>
    <xf numFmtId="164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13" fillId="4" borderId="6" xfId="2" applyFont="1" applyFill="1" applyBorder="1" applyAlignment="1">
      <alignment horizontal="left" vertical="center" indent="1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 indent="1"/>
    </xf>
    <xf numFmtId="0" fontId="16" fillId="4" borderId="6" xfId="0" applyFont="1" applyFill="1" applyBorder="1" applyAlignment="1">
      <alignment horizontal="center" vertical="center"/>
    </xf>
    <xf numFmtId="0" fontId="13" fillId="4" borderId="6" xfId="3" applyFont="1" applyFill="1" applyBorder="1" applyAlignment="1">
      <alignment horizontal="center" vertical="center"/>
    </xf>
    <xf numFmtId="0" fontId="13" fillId="4" borderId="7" xfId="3" applyFont="1" applyFill="1" applyBorder="1" applyAlignment="1">
      <alignment horizontal="center" vertical="center"/>
    </xf>
    <xf numFmtId="0" fontId="17" fillId="4" borderId="8" xfId="3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left" vertical="center" indent="1"/>
    </xf>
    <xf numFmtId="164" fontId="18" fillId="5" borderId="9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indent="1"/>
    </xf>
    <xf numFmtId="164" fontId="18" fillId="0" borderId="10" xfId="0" applyNumberFormat="1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 customBuiltin="1"/>
    <cellStyle name="Normal" xfId="0" builtinId="0" customBuiltin="1"/>
  </cellStyles>
  <dxfs count="436">
    <dxf>
      <font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double">
          <color theme="6" tint="0.39994506668294322"/>
        </top>
        <bottom style="double">
          <color theme="6" tint="0.39994506668294322"/>
        </bottom>
        <vertical/>
        <horizontal style="double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double">
          <color theme="6" tint="0.39994506668294322"/>
        </top>
        <bottom style="double">
          <color theme="6" tint="0.39994506668294322"/>
        </bottom>
        <vertical/>
        <horizontal style="double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double">
          <color theme="6" tint="0.39994506668294322"/>
        </top>
        <bottom style="double">
          <color theme="6" tint="0.39994506668294322"/>
        </bottom>
        <vertical/>
        <horizontal style="double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double">
          <color theme="6" tint="0.39994506668294322"/>
        </top>
        <bottom style="double">
          <color theme="6" tint="0.39994506668294322"/>
        </bottom>
        <vertical/>
        <horizontal style="double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double">
          <color theme="6" tint="0.39994506668294322"/>
        </top>
        <bottom style="double">
          <color theme="6" tint="0.39994506668294322"/>
        </bottom>
        <vertical/>
        <horizontal style="double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double">
          <color theme="6" tint="0.39994506668294322"/>
        </top>
        <bottom style="double">
          <color theme="6" tint="0.39994506668294322"/>
        </bottom>
        <vertical/>
        <horizontal style="double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double">
          <color theme="6" tint="0.39994506668294322"/>
        </top>
        <bottom style="double">
          <color theme="6" tint="0.39994506668294322"/>
        </bottom>
        <vertical/>
        <horizontal style="double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double">
          <color theme="6" tint="0.39994506668294322"/>
        </top>
        <bottom style="double">
          <color theme="6" tint="0.39994506668294322"/>
        </bottom>
        <vertical/>
        <horizontal style="double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double">
          <color theme="6" tint="0.39994506668294322"/>
        </top>
        <bottom style="double">
          <color theme="6" tint="0.39994506668294322"/>
        </bottom>
        <vertical/>
        <horizontal style="double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double">
          <color theme="6" tint="0.39994506668294322"/>
        </top>
        <bottom style="double">
          <color theme="6" tint="0.39994506668294322"/>
        </bottom>
        <vertical/>
        <horizontal style="double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double">
          <color theme="6" tint="0.39994506668294322"/>
        </top>
        <bottom style="double">
          <color theme="6" tint="0.39994506668294322"/>
        </bottom>
        <vertical/>
        <horizontal style="double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double">
          <color theme="6" tint="0.39994506668294322"/>
        </top>
        <bottom style="double">
          <color theme="6" tint="0.39994506668294322"/>
        </bottom>
        <vertical/>
        <horizontal style="double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double">
          <color theme="6" tint="0.39994506668294322"/>
        </top>
        <bottom style="double">
          <color theme="6" tint="0.39994506668294322"/>
        </bottom>
        <vertical/>
        <horizontal style="double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double">
          <color theme="6" tint="0.39994506668294322"/>
        </top>
        <bottom style="double">
          <color theme="6" tint="0.39994506668294322"/>
        </bottom>
        <vertical/>
        <horizontal style="double">
          <color theme="6" tint="0.39994506668294322"/>
        </horizontal>
      </border>
    </dxf>
    <dxf>
      <font>
        <b/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/>
        <right/>
        <top style="double">
          <color theme="6" tint="0.39994506668294322"/>
        </top>
        <bottom style="double">
          <color theme="6" tint="0.39994506668294322"/>
        </bottom>
        <vertical/>
        <horizontal style="double">
          <color theme="6" tint="0.39994506668294322"/>
        </horizontal>
      </border>
    </dxf>
    <dxf>
      <border>
        <top style="double">
          <color theme="6" tint="0.39994506668294322"/>
        </top>
      </border>
    </dxf>
    <dxf>
      <border>
        <bottom style="double">
          <color theme="6" tint="0.39994506668294322"/>
        </bottom>
      </border>
    </dxf>
    <dxf>
      <border diagonalUp="0" diagonalDown="0">
        <left/>
        <right/>
        <top style="double">
          <color theme="6" tint="0.39994506668294322"/>
        </top>
        <bottom style="double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ck">
          <color theme="6" tint="0.39994506668294322"/>
        </top>
        <bottom style="thick">
          <color theme="6" tint="0.39991454817346722"/>
        </bottom>
      </border>
    </dxf>
    <dxf>
      <font>
        <b/>
        <strike val="0"/>
        <outline val="0"/>
        <shadow val="0"/>
        <u val="none"/>
        <vertAlign val="baseline"/>
        <sz val="18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8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8"/>
        <color theme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8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8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8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8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8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border>
        <bottom style="dashed">
          <color theme="6" tint="0.39994506668294322"/>
        </bottom>
      </border>
    </dxf>
    <dxf>
      <border>
        <bottom style="dashed">
          <color theme="6" tint="0.39994506668294322"/>
        </bottom>
      </border>
    </dxf>
    <dxf>
      <border>
        <bottom style="dashed">
          <color theme="6" tint="0.39994506668294322"/>
        </bottom>
      </border>
    </dxf>
    <dxf>
      <border>
        <bottom style="dashed">
          <color theme="6" tint="0.39994506668294322"/>
        </bottom>
      </border>
    </dxf>
    <dxf>
      <border>
        <bottom style="dashed">
          <color theme="6" tint="0.39994506668294322"/>
        </bottom>
      </border>
    </dxf>
    <dxf>
      <border>
        <bottom style="dashed">
          <color theme="6" tint="0.39994506668294322"/>
        </bottom>
      </border>
    </dxf>
    <dxf>
      <border>
        <bottom style="dashed">
          <color theme="6" tint="0.39994506668294322"/>
        </bottom>
      </border>
    </dxf>
    <dxf>
      <border>
        <bottom style="dashed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border>
        <top style="thick">
          <color theme="6" tint="0.39994506668294322"/>
        </top>
      </border>
    </dxf>
    <dxf>
      <border>
        <top style="thick">
          <color theme="6" tint="0.39994506668294322"/>
        </top>
      </border>
    </dxf>
    <dxf>
      <border>
        <top style="thick">
          <color theme="6" tint="0.39994506668294322"/>
        </top>
      </border>
    </dxf>
    <dxf>
      <border>
        <top style="thick">
          <color theme="6" tint="0.39994506668294322"/>
        </top>
      </border>
    </dxf>
    <dxf>
      <border>
        <top style="thick">
          <color theme="6" tint="0.39994506668294322"/>
        </top>
      </border>
    </dxf>
    <dxf>
      <border>
        <top style="thick">
          <color theme="6" tint="0.39994506668294322"/>
        </top>
      </border>
    </dxf>
    <dxf>
      <border>
        <top style="thick">
          <color theme="6" tint="0.39994506668294322"/>
        </top>
      </border>
    </dxf>
    <dxf>
      <border>
        <top style="thick">
          <color theme="6" tint="0.39994506668294322"/>
        </top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border diagonalUp="0" diagonalDown="0">
        <left/>
        <right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color rgb="FF9C0006"/>
      </font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border diagonalUp="0" diagonalDown="0">
        <left/>
        <right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</border>
    </dxf>
    <dxf>
      <border>
        <top style="thick">
          <color theme="6" tint="0.39994506668294322"/>
        </top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border>
        <top style="thick">
          <color theme="6" tint="0.39994506668294322"/>
        </top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</dxf>
    <dxf>
      <border>
        <top style="thick">
          <color theme="6" tint="0.39994506668294322"/>
        </top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</dxf>
    <dxf>
      <border>
        <bottom style="thin">
          <color theme="6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6" tint="0.39997558519241921"/>
        </left>
        <right style="thin">
          <color theme="6" tint="0.39997558519241921"/>
        </right>
        <top/>
        <bottom/>
        <vertical style="thin">
          <color theme="6" tint="0.39997558519241921"/>
        </vertical>
        <horizontal style="thin">
          <color theme="6" tint="0.39997558519241921"/>
        </horizontal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6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</dxf>
    <dxf>
      <border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TableStyle="Personal Budget - Expense" defaultPivotStyle="PivotStyleLight16">
    <tableStyle name="Persona Budget - Revenue" pivot="0" count="9" xr9:uid="{00000000-0011-0000-FFFF-FFFF00000000}">
      <tableStyleElement type="wholeTable" dxfId="435"/>
      <tableStyleElement type="headerRow" dxfId="434"/>
      <tableStyleElement type="totalRow" dxfId="433"/>
      <tableStyleElement type="firstColumn" dxfId="432"/>
      <tableStyleElement type="lastColumn" dxfId="431"/>
      <tableStyleElement type="firstRowStripe" dxfId="430"/>
      <tableStyleElement type="firstColumnStripe" dxfId="429"/>
      <tableStyleElement type="firstTotalCell" dxfId="428"/>
      <tableStyleElement type="lastTotalCell" dxfId="427"/>
    </tableStyle>
    <tableStyle name="Personal Budget - Expense" pivot="0" count="9" xr9:uid="{00000000-0011-0000-FFFF-FFFF01000000}">
      <tableStyleElement type="wholeTable" dxfId="426"/>
      <tableStyleElement type="headerRow" dxfId="425"/>
      <tableStyleElement type="totalRow" dxfId="424"/>
      <tableStyleElement type="firstColumn" dxfId="423"/>
      <tableStyleElement type="lastColumn" dxfId="422"/>
      <tableStyleElement type="firstRowStripe" dxfId="421"/>
      <tableStyleElement type="firstColumnStripe" dxfId="420"/>
      <tableStyleElement type="firstTotalCell" dxfId="419"/>
      <tableStyleElement type="lastTotalCell" dxfId="418"/>
    </tableStyle>
    <tableStyle name="Personal Budget - Total" pivot="0" count="9" xr9:uid="{00000000-0011-0000-FFFF-FFFF02000000}">
      <tableStyleElement type="wholeTable" dxfId="417"/>
      <tableStyleElement type="headerRow" dxfId="416"/>
      <tableStyleElement type="totalRow" dxfId="415"/>
      <tableStyleElement type="firstColumn" dxfId="414"/>
      <tableStyleElement type="lastColumn" dxfId="413"/>
      <tableStyleElement type="firstRowStripe" dxfId="412"/>
      <tableStyleElement type="firstColumnStripe" dxfId="411"/>
      <tableStyleElement type="firstTotalCell" dxfId="410"/>
      <tableStyleElement type="lastTotalCell" dxfId="409"/>
    </tableStyle>
  </tableStyles>
  <colors>
    <mruColors>
      <color rgb="FFF7F7F7"/>
      <color rgb="FFF3F8FF"/>
      <color rgb="FFE6F8FA"/>
      <color rgb="FFEFF5FF"/>
      <color rgb="FFD6E8F6"/>
      <color rgb="FFE6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come" displayName="Income" ref="A6:O9" totalsRowCount="1" headerRowDxfId="408" dataDxfId="406" totalsRowDxfId="196" headerRowBorderDxfId="407" totalsRowBorderDxfId="219">
  <autoFilter ref="A6:O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INCOME" totalsRowLabel="Total" dataDxfId="388" totalsRowDxfId="211"/>
    <tableColumn id="2" xr3:uid="{00000000-0010-0000-0000-000002000000}" name="January" totalsRowFunction="sum" dataDxfId="387" totalsRowDxfId="210"/>
    <tableColumn id="3" xr3:uid="{00000000-0010-0000-0000-000003000000}" name="February" totalsRowFunction="sum" dataDxfId="386" totalsRowDxfId="209"/>
    <tableColumn id="4" xr3:uid="{00000000-0010-0000-0000-000004000000}" name="March" totalsRowFunction="sum" dataDxfId="385" totalsRowDxfId="208"/>
    <tableColumn id="5" xr3:uid="{00000000-0010-0000-0000-000005000000}" name="April" totalsRowFunction="sum" dataDxfId="384" totalsRowDxfId="207"/>
    <tableColumn id="6" xr3:uid="{00000000-0010-0000-0000-000006000000}" name="May" totalsRowFunction="sum" dataDxfId="383" totalsRowDxfId="206"/>
    <tableColumn id="7" xr3:uid="{00000000-0010-0000-0000-000007000000}" name="June" totalsRowFunction="sum" dataDxfId="382" totalsRowDxfId="205"/>
    <tableColumn id="8" xr3:uid="{00000000-0010-0000-0000-000008000000}" name="July" totalsRowFunction="sum" dataDxfId="381" totalsRowDxfId="204"/>
    <tableColumn id="9" xr3:uid="{00000000-0010-0000-0000-000009000000}" name="August" totalsRowFunction="sum" dataDxfId="380" totalsRowDxfId="203"/>
    <tableColumn id="10" xr3:uid="{00000000-0010-0000-0000-00000A000000}" name="September" totalsRowFunction="sum" dataDxfId="379" totalsRowDxfId="202"/>
    <tableColumn id="11" xr3:uid="{00000000-0010-0000-0000-00000B000000}" name="October" totalsRowFunction="sum" dataDxfId="378" totalsRowDxfId="201"/>
    <tableColumn id="12" xr3:uid="{00000000-0010-0000-0000-00000C000000}" name="November" totalsRowFunction="sum" dataDxfId="377" totalsRowDxfId="200"/>
    <tableColumn id="13" xr3:uid="{00000000-0010-0000-0000-00000D000000}" name="December" totalsRowFunction="sum" dataDxfId="376" totalsRowDxfId="199"/>
    <tableColumn id="14" xr3:uid="{00000000-0010-0000-0000-00000E000000}" name="Year" totalsRowFunction="sum" dataDxfId="375" totalsRowDxfId="198">
      <calculatedColumnFormula>SUM(Income[[#This Row],[January]:[December]])</calculatedColumnFormula>
    </tableColumn>
    <tableColumn id="15" xr3:uid="{00000000-0010-0000-0000-00000F000000}" name="Sparkline" dataDxfId="374" totalsRowDxfId="197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Income items and monthly amounts in this table. Annual amount and monthly Totals are auto calculated and sparklines are upd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rsonal" displayName="Personal" ref="A51:O54" totalsRowCount="1" headerRowDxfId="158" dataDxfId="392" totalsRowDxfId="173" headerRowBorderDxfId="166" totalsRowBorderDxfId="391">
  <autoFilter ref="A51:O53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900-000001000000}" name="PERSONAL" totalsRowLabel="Total" dataDxfId="282" totalsRowDxfId="156"/>
    <tableColumn id="2" xr3:uid="{00000000-0010-0000-0900-000002000000}" name="JAN" totalsRowFunction="sum" dataDxfId="281" totalsRowDxfId="155"/>
    <tableColumn id="3" xr3:uid="{00000000-0010-0000-0900-000003000000}" name="FEB" totalsRowFunction="sum" dataDxfId="280" totalsRowDxfId="154"/>
    <tableColumn id="4" xr3:uid="{00000000-0010-0000-0900-000004000000}" name="MAR" totalsRowFunction="sum" dataDxfId="279" totalsRowDxfId="153"/>
    <tableColumn id="5" xr3:uid="{00000000-0010-0000-0900-000005000000}" name="APR" totalsRowFunction="sum" dataDxfId="278" totalsRowDxfId="152"/>
    <tableColumn id="6" xr3:uid="{00000000-0010-0000-0900-000006000000}" name="MAY" totalsRowFunction="sum" dataDxfId="277" totalsRowDxfId="151"/>
    <tableColumn id="7" xr3:uid="{00000000-0010-0000-0900-000007000000}" name="JUN" totalsRowFunction="sum" dataDxfId="276" totalsRowDxfId="150"/>
    <tableColumn id="8" xr3:uid="{00000000-0010-0000-0900-000008000000}" name="JUL" totalsRowFunction="sum" dataDxfId="275" totalsRowDxfId="149"/>
    <tableColumn id="9" xr3:uid="{00000000-0010-0000-0900-000009000000}" name="AUG" totalsRowFunction="sum" dataDxfId="274" totalsRowDxfId="148"/>
    <tableColumn id="10" xr3:uid="{00000000-0010-0000-0900-00000A000000}" name="SEP" totalsRowFunction="sum" dataDxfId="273" totalsRowDxfId="147"/>
    <tableColumn id="11" xr3:uid="{00000000-0010-0000-0900-00000B000000}" name="OCT" totalsRowFunction="sum" dataDxfId="272" totalsRowDxfId="146"/>
    <tableColumn id="12" xr3:uid="{00000000-0010-0000-0900-00000C000000}" name="NOV" totalsRowFunction="sum" dataDxfId="271" totalsRowDxfId="145"/>
    <tableColumn id="13" xr3:uid="{00000000-0010-0000-0900-00000D000000}" name="DEC" totalsRowFunction="sum" dataDxfId="270" totalsRowDxfId="144"/>
    <tableColumn id="14" xr3:uid="{00000000-0010-0000-0900-00000E000000}" name="YEAR" totalsRowFunction="sum" dataDxfId="269" totalsRowDxfId="143">
      <calculatedColumnFormula>SUM(Personal[[#This Row],[JAN]:[DEC]])</calculatedColumnFormula>
    </tableColumn>
    <tableColumn id="15" xr3:uid="{00000000-0010-0000-0900-00000F000000}" name="SPARKLINE" dataDxfId="268" totalsRowDxfId="142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Personal expenses items and monthly amounts in this table. Annual amount and monthly Totals are auto calculated and sparklines are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Financial" displayName="Financial" ref="A56:O58" totalsRowCount="1" headerRowDxfId="157" dataDxfId="390" totalsRowDxfId="20" headerRowBorderDxfId="165" totalsRowBorderDxfId="389">
  <autoFilter ref="A56:O57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A00-000001000000}" name="FINANCIAL " totalsRowLabel="Total" dataDxfId="267" totalsRowDxfId="35"/>
    <tableColumn id="2" xr3:uid="{00000000-0010-0000-0A00-000002000000}" name="JAN" totalsRowFunction="sum" dataDxfId="266" totalsRowDxfId="34"/>
    <tableColumn id="3" xr3:uid="{00000000-0010-0000-0A00-000003000000}" name="FEB" totalsRowFunction="sum" dataDxfId="265" totalsRowDxfId="33"/>
    <tableColumn id="4" xr3:uid="{00000000-0010-0000-0A00-000004000000}" name="MAR" totalsRowFunction="sum" dataDxfId="264" totalsRowDxfId="32"/>
    <tableColumn id="5" xr3:uid="{00000000-0010-0000-0A00-000005000000}" name="APR" totalsRowFunction="sum" dataDxfId="263" totalsRowDxfId="31"/>
    <tableColumn id="6" xr3:uid="{00000000-0010-0000-0A00-000006000000}" name="MAY" totalsRowFunction="sum" dataDxfId="262" totalsRowDxfId="30"/>
    <tableColumn id="7" xr3:uid="{00000000-0010-0000-0A00-000007000000}" name="JUN" totalsRowFunction="sum" dataDxfId="261" totalsRowDxfId="29"/>
    <tableColumn id="8" xr3:uid="{00000000-0010-0000-0A00-000008000000}" name="JUL" totalsRowFunction="sum" dataDxfId="260" totalsRowDxfId="28"/>
    <tableColumn id="9" xr3:uid="{00000000-0010-0000-0A00-000009000000}" name="AUG" totalsRowFunction="sum" dataDxfId="259" totalsRowDxfId="27"/>
    <tableColumn id="10" xr3:uid="{00000000-0010-0000-0A00-00000A000000}" name="SEP" totalsRowFunction="sum" dataDxfId="258" totalsRowDxfId="26"/>
    <tableColumn id="11" xr3:uid="{00000000-0010-0000-0A00-00000B000000}" name="OCT" totalsRowFunction="sum" dataDxfId="257" totalsRowDxfId="25"/>
    <tableColumn id="12" xr3:uid="{00000000-0010-0000-0A00-00000C000000}" name="NOV" totalsRowFunction="sum" dataDxfId="256" totalsRowDxfId="24"/>
    <tableColumn id="13" xr3:uid="{00000000-0010-0000-0A00-00000D000000}" name="DEC" totalsRowFunction="sum" dataDxfId="255" totalsRowDxfId="23"/>
    <tableColumn id="14" xr3:uid="{00000000-0010-0000-0A00-00000E000000}" name="YEAR" totalsRowFunction="sum" dataDxfId="254" totalsRowDxfId="22">
      <calculatedColumnFormula>SUM(Financial[[#This Row],[JAN]:[DEC]])</calculatedColumnFormula>
    </tableColumn>
    <tableColumn id="15" xr3:uid="{00000000-0010-0000-0A00-00000F000000}" name="SPARKLINE" dataDxfId="253" totalsRowDxfId="21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Financial Obligations items and monthly amounts in this table. Annual amount and monthly Totals are auto calculated and sparklines are upd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otals" displayName="Totals" ref="A60:O62" totalsRowShown="0" headerRowDxfId="19" dataDxfId="18" headerRowBorderDxfId="16" tableBorderDxfId="17" totalsRowBorderDxfId="15" headerRowCellStyle="Heading 3">
  <tableColumns count="15">
    <tableColumn id="1" xr3:uid="{00000000-0010-0000-0C00-000001000000}" name="TOTALS" dataDxfId="14"/>
    <tableColumn id="2" xr3:uid="{00000000-0010-0000-0C00-000002000000}" name="JAN" dataDxfId="13"/>
    <tableColumn id="3" xr3:uid="{00000000-0010-0000-0C00-000003000000}" name="FEB" dataDxfId="12"/>
    <tableColumn id="4" xr3:uid="{00000000-0010-0000-0C00-000004000000}" name="MAR" dataDxfId="11"/>
    <tableColumn id="5" xr3:uid="{00000000-0010-0000-0C00-000005000000}" name="APR" dataDxfId="10"/>
    <tableColumn id="6" xr3:uid="{00000000-0010-0000-0C00-000006000000}" name="MAY" dataDxfId="9"/>
    <tableColumn id="7" xr3:uid="{00000000-0010-0000-0C00-000007000000}" name="JUN" dataDxfId="8"/>
    <tableColumn id="8" xr3:uid="{00000000-0010-0000-0C00-000008000000}" name="JUL" dataDxfId="7"/>
    <tableColumn id="9" xr3:uid="{00000000-0010-0000-0C00-000009000000}" name="AUG" dataDxfId="6"/>
    <tableColumn id="10" xr3:uid="{00000000-0010-0000-0C00-00000A000000}" name="SEP" dataDxfId="5"/>
    <tableColumn id="11" xr3:uid="{00000000-0010-0000-0C00-00000B000000}" name="OCT" dataDxfId="4"/>
    <tableColumn id="12" xr3:uid="{00000000-0010-0000-0C00-00000C000000}" name="NOV" dataDxfId="3"/>
    <tableColumn id="13" xr3:uid="{00000000-0010-0000-0C00-00000D000000}" name="DEC" dataDxfId="2"/>
    <tableColumn id="14" xr3:uid="{00000000-0010-0000-0C00-00000E000000}" name="YEAR" dataDxfId="1"/>
    <tableColumn id="15" xr3:uid="{00000000-0010-0000-0C00-00000F000000}" name="SPARKLINE" dataDxfId="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Total expenses and Cash shortage or surplus are auto calculated for each month and entire year, and sparklines are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ome" displayName="Home" ref="A12:O15" totalsRowCount="1" headerRowDxfId="405" dataDxfId="403" totalsRowDxfId="180" headerRowBorderDxfId="404" totalsRowBorderDxfId="218">
  <autoFilter ref="A12:O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100-000001000000}" name="HOME" totalsRowLabel="Total" dataDxfId="373" totalsRowDxfId="195"/>
    <tableColumn id="2" xr3:uid="{00000000-0010-0000-0100-000002000000}" name="January" totalsRowFunction="sum" dataDxfId="372" totalsRowDxfId="194"/>
    <tableColumn id="3" xr3:uid="{00000000-0010-0000-0100-000003000000}" name="February" totalsRowFunction="sum" dataDxfId="371" totalsRowDxfId="193"/>
    <tableColumn id="4" xr3:uid="{00000000-0010-0000-0100-000004000000}" name="March" totalsRowFunction="sum" dataDxfId="370" totalsRowDxfId="192"/>
    <tableColumn id="5" xr3:uid="{00000000-0010-0000-0100-000005000000}" name="April" totalsRowFunction="sum" dataDxfId="369" totalsRowDxfId="191"/>
    <tableColumn id="6" xr3:uid="{00000000-0010-0000-0100-000006000000}" name="May" totalsRowFunction="sum" dataDxfId="368" totalsRowDxfId="190"/>
    <tableColumn id="7" xr3:uid="{00000000-0010-0000-0100-000007000000}" name="June" totalsRowFunction="sum" dataDxfId="367" totalsRowDxfId="189"/>
    <tableColumn id="8" xr3:uid="{00000000-0010-0000-0100-000008000000}" name="July" totalsRowFunction="sum" dataDxfId="366" totalsRowDxfId="188"/>
    <tableColumn id="9" xr3:uid="{00000000-0010-0000-0100-000009000000}" name="August" totalsRowFunction="sum" dataDxfId="365" totalsRowDxfId="187"/>
    <tableColumn id="10" xr3:uid="{00000000-0010-0000-0100-00000A000000}" name="September" totalsRowFunction="sum" dataDxfId="364" totalsRowDxfId="186"/>
    <tableColumn id="11" xr3:uid="{00000000-0010-0000-0100-00000B000000}" name="October" totalsRowFunction="sum" dataDxfId="363" totalsRowDxfId="185"/>
    <tableColumn id="12" xr3:uid="{00000000-0010-0000-0100-00000C000000}" name="November" totalsRowFunction="sum" dataDxfId="362" totalsRowDxfId="184"/>
    <tableColumn id="13" xr3:uid="{00000000-0010-0000-0100-00000D000000}" name="December" totalsRowFunction="sum" dataDxfId="361" totalsRowDxfId="183"/>
    <tableColumn id="14" xr3:uid="{00000000-0010-0000-0100-00000E000000}" name="Year" totalsRowFunction="sum" dataDxfId="360" totalsRowDxfId="182">
      <calculatedColumnFormula>SUM(Home[[#This Row],[January]:[December]])</calculatedColumnFormula>
    </tableColumn>
    <tableColumn id="15" xr3:uid="{00000000-0010-0000-0100-00000F000000}" name="Sparkline" dataDxfId="359" totalsRowDxfId="181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ome expense items and monthly amounts in this table. Annual amount and monthly Totals are auto calculated and sparkline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ily" displayName="Daily" ref="A17:O20" totalsRowCount="1" headerRowDxfId="164" dataDxfId="402" totalsRowDxfId="179" headerRowBorderDxfId="172" tableBorderDxfId="358" totalsRowBorderDxfId="217">
  <autoFilter ref="A17:O1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DAILY LIVING" totalsRowLabel="Total" dataDxfId="357" totalsRowDxfId="66"/>
    <tableColumn id="2" xr3:uid="{00000000-0010-0000-0200-000002000000}" name="JAN" totalsRowFunction="sum" dataDxfId="356" totalsRowDxfId="65"/>
    <tableColumn id="3" xr3:uid="{00000000-0010-0000-0200-000003000000}" name="FEB" totalsRowFunction="sum" dataDxfId="355" totalsRowDxfId="64"/>
    <tableColumn id="4" xr3:uid="{00000000-0010-0000-0200-000004000000}" name="MAR" totalsRowFunction="sum" dataDxfId="354" totalsRowDxfId="63"/>
    <tableColumn id="5" xr3:uid="{00000000-0010-0000-0200-000005000000}" name="APR" totalsRowFunction="sum" dataDxfId="353" totalsRowDxfId="62"/>
    <tableColumn id="6" xr3:uid="{00000000-0010-0000-0200-000006000000}" name="MAY" totalsRowFunction="sum" dataDxfId="352" totalsRowDxfId="61"/>
    <tableColumn id="7" xr3:uid="{00000000-0010-0000-0200-000007000000}" name="JUN" totalsRowFunction="sum" dataDxfId="351" totalsRowDxfId="60"/>
    <tableColumn id="8" xr3:uid="{00000000-0010-0000-0200-000008000000}" name="JUL" totalsRowFunction="sum" dataDxfId="350" totalsRowDxfId="59"/>
    <tableColumn id="9" xr3:uid="{00000000-0010-0000-0200-000009000000}" name="AUG" totalsRowFunction="sum" dataDxfId="349" totalsRowDxfId="58"/>
    <tableColumn id="10" xr3:uid="{00000000-0010-0000-0200-00000A000000}" name="SEP" totalsRowFunction="sum" dataDxfId="348" totalsRowDxfId="57"/>
    <tableColumn id="11" xr3:uid="{00000000-0010-0000-0200-00000B000000}" name="OCT" totalsRowFunction="sum" dataDxfId="347" totalsRowDxfId="56"/>
    <tableColumn id="12" xr3:uid="{00000000-0010-0000-0200-00000C000000}" name="NOV" totalsRowFunction="sum" dataDxfId="346" totalsRowDxfId="55"/>
    <tableColumn id="13" xr3:uid="{00000000-0010-0000-0200-00000D000000}" name="DEC" totalsRowFunction="sum" dataDxfId="345" totalsRowDxfId="54"/>
    <tableColumn id="14" xr3:uid="{00000000-0010-0000-0200-00000E000000}" name="YEAR" totalsRowFunction="sum" dataDxfId="344" totalsRowDxfId="53">
      <calculatedColumnFormula>SUM(Daily[[#This Row],[JAN]:[DEC]])</calculatedColumnFormula>
    </tableColumn>
    <tableColumn id="15" xr3:uid="{00000000-0010-0000-0200-00000F000000}" name="SPARKLINE" dataDxfId="343" totalsRowDxfId="52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aily expense items and monthly amounts in this table. Annual amount and monthly Totals are auto calculated and sparkline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A22:O25" totalsRowCount="1" headerRowDxfId="163" dataDxfId="401" totalsRowDxfId="178" headerRowBorderDxfId="171" totalsRowBorderDxfId="216">
  <autoFilter ref="A22:O2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TRANSPORTATION" totalsRowLabel="Total" dataDxfId="342" totalsRowDxfId="81"/>
    <tableColumn id="2" xr3:uid="{00000000-0010-0000-0300-000002000000}" name="JAN" totalsRowFunction="sum" dataDxfId="341" totalsRowDxfId="80"/>
    <tableColumn id="3" xr3:uid="{00000000-0010-0000-0300-000003000000}" name="FEB" totalsRowFunction="sum" dataDxfId="340" totalsRowDxfId="79"/>
    <tableColumn id="4" xr3:uid="{00000000-0010-0000-0300-000004000000}" name="MAR" totalsRowFunction="sum" dataDxfId="339" totalsRowDxfId="78"/>
    <tableColumn id="5" xr3:uid="{00000000-0010-0000-0300-000005000000}" name="APR" totalsRowFunction="sum" dataDxfId="338" totalsRowDxfId="77"/>
    <tableColumn id="6" xr3:uid="{00000000-0010-0000-0300-000006000000}" name="MAY" totalsRowFunction="sum" dataDxfId="337" totalsRowDxfId="76"/>
    <tableColumn id="7" xr3:uid="{00000000-0010-0000-0300-000007000000}" name="JUN" totalsRowFunction="sum" dataDxfId="336" totalsRowDxfId="75"/>
    <tableColumn id="8" xr3:uid="{00000000-0010-0000-0300-000008000000}" name="JUL" totalsRowFunction="sum" dataDxfId="335" totalsRowDxfId="74"/>
    <tableColumn id="9" xr3:uid="{00000000-0010-0000-0300-000009000000}" name="AUG" totalsRowFunction="sum" dataDxfId="334" totalsRowDxfId="73"/>
    <tableColumn id="10" xr3:uid="{00000000-0010-0000-0300-00000A000000}" name="SEP" totalsRowFunction="sum" dataDxfId="333" totalsRowDxfId="72"/>
    <tableColumn id="11" xr3:uid="{00000000-0010-0000-0300-00000B000000}" name="OCT" totalsRowFunction="sum" dataDxfId="332" totalsRowDxfId="71"/>
    <tableColumn id="12" xr3:uid="{00000000-0010-0000-0300-00000C000000}" name="NOV" totalsRowFunction="sum" dataDxfId="331" totalsRowDxfId="70"/>
    <tableColumn id="13" xr3:uid="{00000000-0010-0000-0300-00000D000000}" name="DEC" totalsRowFunction="sum" dataDxfId="330" totalsRowDxfId="69"/>
    <tableColumn id="14" xr3:uid="{00000000-0010-0000-0300-00000E000000}" name="YEAR" totalsRowFunction="sum" dataDxfId="329" totalsRowDxfId="68">
      <calculatedColumnFormula>SUM(Transportation[[#This Row],[JAN]:[DEC]])</calculatedColumnFormula>
    </tableColumn>
    <tableColumn id="15" xr3:uid="{00000000-0010-0000-0300-00000F000000}" name="SPARKLINE" dataDxfId="328" totalsRowDxfId="67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Transportation expense items and monthly amounts in this table. Annual amount and monthly Totals are auto calculated and sparkline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Entertainment" displayName="Entertainment" ref="A27:O29" totalsRowCount="1" headerRowDxfId="162" dataDxfId="400" totalsRowDxfId="177" headerRowBorderDxfId="170" tableBorderDxfId="251" totalsRowBorderDxfId="215">
  <autoFilter ref="A27:O2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ENTERTAINMENT" totalsRowLabel="Total" dataDxfId="250" totalsRowDxfId="96"/>
    <tableColumn id="2" xr3:uid="{00000000-0010-0000-0400-000002000000}" name="JAN" totalsRowFunction="sum" dataDxfId="249" totalsRowDxfId="95"/>
    <tableColumn id="3" xr3:uid="{00000000-0010-0000-0400-000003000000}" name="FEB" totalsRowFunction="sum" dataDxfId="248" totalsRowDxfId="94"/>
    <tableColumn id="4" xr3:uid="{00000000-0010-0000-0400-000004000000}" name="MAR" totalsRowFunction="sum" dataDxfId="247" totalsRowDxfId="93"/>
    <tableColumn id="5" xr3:uid="{00000000-0010-0000-0400-000005000000}" name="APR" totalsRowFunction="sum" dataDxfId="246" totalsRowDxfId="92"/>
    <tableColumn id="6" xr3:uid="{00000000-0010-0000-0400-000006000000}" name="MAY" totalsRowFunction="sum" dataDxfId="245" totalsRowDxfId="91"/>
    <tableColumn id="7" xr3:uid="{00000000-0010-0000-0400-000007000000}" name="JUN" totalsRowFunction="sum" dataDxfId="244" totalsRowDxfId="90"/>
    <tableColumn id="8" xr3:uid="{00000000-0010-0000-0400-000008000000}" name="JUL" totalsRowFunction="sum" dataDxfId="243" totalsRowDxfId="89"/>
    <tableColumn id="9" xr3:uid="{00000000-0010-0000-0400-000009000000}" name="AUG" totalsRowFunction="sum" dataDxfId="242" totalsRowDxfId="88"/>
    <tableColumn id="10" xr3:uid="{00000000-0010-0000-0400-00000A000000}" name="SEP" totalsRowFunction="sum" dataDxfId="241" totalsRowDxfId="87"/>
    <tableColumn id="11" xr3:uid="{00000000-0010-0000-0400-00000B000000}" name="OCT" totalsRowFunction="sum" dataDxfId="240" totalsRowDxfId="86"/>
    <tableColumn id="12" xr3:uid="{00000000-0010-0000-0400-00000C000000}" name="NOV" totalsRowFunction="sum" dataDxfId="239" totalsRowDxfId="85"/>
    <tableColumn id="13" xr3:uid="{00000000-0010-0000-0400-00000D000000}" name="DEC" totalsRowFunction="sum" dataDxfId="238" totalsRowDxfId="84"/>
    <tableColumn id="14" xr3:uid="{00000000-0010-0000-0400-00000E000000}" name="YEAR" totalsRowFunction="sum" dataDxfId="237" totalsRowDxfId="83">
      <calculatedColumnFormula>SUM(Entertainment[[#This Row],[JAN]:[DEC]])</calculatedColumnFormula>
    </tableColumn>
    <tableColumn id="15" xr3:uid="{00000000-0010-0000-0400-00000F000000}" name="SPARKLINE" dataDxfId="236" totalsRowDxfId="82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Entertainment expense items and monthly amounts in this table. Annual amount and monthly Totals are auto calculated and sparkline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Health" displayName="Health" ref="A31:O34" totalsRowCount="1" headerRowDxfId="161" dataDxfId="399" totalsRowDxfId="176" headerRowBorderDxfId="169" tableBorderDxfId="235" totalsRowBorderDxfId="214">
  <autoFilter ref="A31:O33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500-000001000000}" name="HEALTH" totalsRowLabel="Total" dataDxfId="234" totalsRowDxfId="111"/>
    <tableColumn id="2" xr3:uid="{00000000-0010-0000-0500-000002000000}" name="JAN" totalsRowFunction="sum" dataDxfId="233" totalsRowDxfId="110"/>
    <tableColumn id="3" xr3:uid="{00000000-0010-0000-0500-000003000000}" name="FEB" totalsRowFunction="sum" dataDxfId="232" totalsRowDxfId="109"/>
    <tableColumn id="4" xr3:uid="{00000000-0010-0000-0500-000004000000}" name="MAR" totalsRowFunction="sum" dataDxfId="231" totalsRowDxfId="108"/>
    <tableColumn id="5" xr3:uid="{00000000-0010-0000-0500-000005000000}" name="APR" totalsRowFunction="sum" dataDxfId="230" totalsRowDxfId="107"/>
    <tableColumn id="6" xr3:uid="{00000000-0010-0000-0500-000006000000}" name="MAY" totalsRowFunction="sum" dataDxfId="229" totalsRowDxfId="106"/>
    <tableColumn id="7" xr3:uid="{00000000-0010-0000-0500-000007000000}" name="JUN" totalsRowFunction="sum" dataDxfId="228" totalsRowDxfId="105"/>
    <tableColumn id="8" xr3:uid="{00000000-0010-0000-0500-000008000000}" name="JUL" totalsRowFunction="sum" dataDxfId="227" totalsRowDxfId="104"/>
    <tableColumn id="9" xr3:uid="{00000000-0010-0000-0500-000009000000}" name="AUG" totalsRowFunction="sum" dataDxfId="226" totalsRowDxfId="103"/>
    <tableColumn id="10" xr3:uid="{00000000-0010-0000-0500-00000A000000}" name="SEP" totalsRowFunction="sum" dataDxfId="225" totalsRowDxfId="102"/>
    <tableColumn id="11" xr3:uid="{00000000-0010-0000-0500-00000B000000}" name="OCT" totalsRowFunction="sum" dataDxfId="224" totalsRowDxfId="101"/>
    <tableColumn id="12" xr3:uid="{00000000-0010-0000-0500-00000C000000}" name="NOV" totalsRowFunction="sum" dataDxfId="223" totalsRowDxfId="100"/>
    <tableColumn id="13" xr3:uid="{00000000-0010-0000-0500-00000D000000}" name="DEC" totalsRowFunction="sum" dataDxfId="222" totalsRowDxfId="99"/>
    <tableColumn id="14" xr3:uid="{00000000-0010-0000-0500-00000E000000}" name="YEAR" totalsRowFunction="sum" dataDxfId="221" totalsRowDxfId="98">
      <calculatedColumnFormula>SUM(Health[[#This Row],[JAN]:[DEC]])</calculatedColumnFormula>
    </tableColumn>
    <tableColumn id="15" xr3:uid="{00000000-0010-0000-0500-00000F000000}" name="SPARKLINE" dataDxfId="220" totalsRowDxfId="97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ealth expense items and monthly amounts in this table. Annual amount and monthly Totals are auto calculated and sparklines are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Vacations" displayName="Vacations" ref="A36:O39" totalsRowCount="1" headerRowDxfId="398" dataDxfId="396" totalsRowDxfId="175" headerRowBorderDxfId="397" totalsRowBorderDxfId="213">
  <autoFilter ref="A36:O38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600-000001000000}" name="VACATIONS" totalsRowLabel="Total" dataDxfId="327" totalsRowDxfId="126"/>
    <tableColumn id="2" xr3:uid="{00000000-0010-0000-0600-000002000000}" name="JAN" totalsRowFunction="sum" dataDxfId="326" totalsRowDxfId="125"/>
    <tableColumn id="3" xr3:uid="{00000000-0010-0000-0600-000003000000}" name="FEB" totalsRowFunction="sum" dataDxfId="325" totalsRowDxfId="124"/>
    <tableColumn id="4" xr3:uid="{00000000-0010-0000-0600-000004000000}" name="MAR" totalsRowFunction="sum" dataDxfId="324" totalsRowDxfId="123"/>
    <tableColumn id="5" xr3:uid="{00000000-0010-0000-0600-000005000000}" name="APR" totalsRowFunction="sum" dataDxfId="323" totalsRowDxfId="122"/>
    <tableColumn id="6" xr3:uid="{00000000-0010-0000-0600-000006000000}" name="MAY" totalsRowFunction="sum" dataDxfId="322" totalsRowDxfId="121"/>
    <tableColumn id="7" xr3:uid="{00000000-0010-0000-0600-000007000000}" name="JUN" totalsRowFunction="sum" dataDxfId="321" totalsRowDxfId="120"/>
    <tableColumn id="8" xr3:uid="{00000000-0010-0000-0600-000008000000}" name="JUL" totalsRowFunction="sum" dataDxfId="320" totalsRowDxfId="119"/>
    <tableColumn id="9" xr3:uid="{00000000-0010-0000-0600-000009000000}" name="AUG" totalsRowFunction="sum" dataDxfId="319" totalsRowDxfId="118"/>
    <tableColumn id="10" xr3:uid="{00000000-0010-0000-0600-00000A000000}" name="SEP" totalsRowFunction="sum" dataDxfId="318" totalsRowDxfId="117"/>
    <tableColumn id="11" xr3:uid="{00000000-0010-0000-0600-00000B000000}" name="OCT" totalsRowFunction="sum" dataDxfId="317" totalsRowDxfId="116"/>
    <tableColumn id="12" xr3:uid="{00000000-0010-0000-0600-00000C000000}" name="NOV" totalsRowFunction="sum" dataDxfId="316" totalsRowDxfId="115"/>
    <tableColumn id="13" xr3:uid="{00000000-0010-0000-0600-00000D000000}" name="DEC" totalsRowFunction="sum" dataDxfId="315" totalsRowDxfId="114"/>
    <tableColumn id="14" xr3:uid="{00000000-0010-0000-0600-00000E000000}" name="YEAR" totalsRowFunction="sum" dataDxfId="314" totalsRowDxfId="113">
      <calculatedColumnFormula>SUM(Vacations[[#This Row],[JAN]:[DEC]])</calculatedColumnFormula>
    </tableColumn>
    <tableColumn id="15" xr3:uid="{00000000-0010-0000-0600-00000F000000}" name="SPARKLINE" dataDxfId="313" totalsRowDxfId="112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Vacations expense items and monthly amounts in this table. Annual amount and monthly Totals are auto calculated and sparklines are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Recreation" displayName="Recreation" ref="A41:O44" totalsRowCount="1" headerRowDxfId="160" dataDxfId="395" totalsRowDxfId="174" headerRowBorderDxfId="168" totalsRowBorderDxfId="212">
  <autoFilter ref="A41:O43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700-000001000000}" name="RECREATION" totalsRowLabel="Total" dataDxfId="312" totalsRowDxfId="141"/>
    <tableColumn id="2" xr3:uid="{00000000-0010-0000-0700-000002000000}" name="JAN" totalsRowFunction="sum" dataDxfId="311" totalsRowDxfId="140"/>
    <tableColumn id="3" xr3:uid="{00000000-0010-0000-0700-000003000000}" name="FEB" totalsRowFunction="sum" dataDxfId="310" totalsRowDxfId="139"/>
    <tableColumn id="4" xr3:uid="{00000000-0010-0000-0700-000004000000}" name="MAR" totalsRowFunction="sum" dataDxfId="309" totalsRowDxfId="138"/>
    <tableColumn id="5" xr3:uid="{00000000-0010-0000-0700-000005000000}" name="APR" totalsRowFunction="sum" dataDxfId="308" totalsRowDxfId="137"/>
    <tableColumn id="6" xr3:uid="{00000000-0010-0000-0700-000006000000}" name="MAY" totalsRowFunction="sum" dataDxfId="307" totalsRowDxfId="136"/>
    <tableColumn id="7" xr3:uid="{00000000-0010-0000-0700-000007000000}" name="JUN" totalsRowFunction="sum" dataDxfId="306" totalsRowDxfId="135"/>
    <tableColumn id="8" xr3:uid="{00000000-0010-0000-0700-000008000000}" name="JUL" totalsRowFunction="sum" dataDxfId="305" totalsRowDxfId="134"/>
    <tableColumn id="9" xr3:uid="{00000000-0010-0000-0700-000009000000}" name="AUG" totalsRowFunction="sum" dataDxfId="304" totalsRowDxfId="133"/>
    <tableColumn id="10" xr3:uid="{00000000-0010-0000-0700-00000A000000}" name="SEP" totalsRowFunction="sum" dataDxfId="303" totalsRowDxfId="132"/>
    <tableColumn id="11" xr3:uid="{00000000-0010-0000-0700-00000B000000}" name="OCT" totalsRowFunction="sum" dataDxfId="302" totalsRowDxfId="131"/>
    <tableColumn id="12" xr3:uid="{00000000-0010-0000-0700-00000C000000}" name="NOV" totalsRowFunction="sum" dataDxfId="301" totalsRowDxfId="130"/>
    <tableColumn id="13" xr3:uid="{00000000-0010-0000-0700-00000D000000}" name="DEC" totalsRowFunction="sum" dataDxfId="300" totalsRowDxfId="129"/>
    <tableColumn id="14" xr3:uid="{00000000-0010-0000-0700-00000E000000}" name="YEAR" totalsRowFunction="sum" dataDxfId="299" totalsRowDxfId="128">
      <calculatedColumnFormula>SUM(Recreation[[#This Row],[JAN]:[DEC]])</calculatedColumnFormula>
    </tableColumn>
    <tableColumn id="15" xr3:uid="{00000000-0010-0000-0700-00000F000000}" name="SPARKLINE" dataDxfId="298" totalsRowDxfId="127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Recreation expense items and monthly amounts in this table. Annual amount and monthly Totals are auto calculated and sparklines are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DuesAndSubscription" displayName="DuesAndSubscription" ref="A46:O49" totalsRowCount="1" headerRowDxfId="159" dataDxfId="394" totalsRowDxfId="36" headerRowBorderDxfId="167" totalsRowBorderDxfId="393">
  <autoFilter ref="A46:O48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800-000001000000}" name="DUES" totalsRowLabel="Total" dataDxfId="297" totalsRowDxfId="51"/>
    <tableColumn id="2" xr3:uid="{00000000-0010-0000-0800-000002000000}" name="JAN" totalsRowFunction="sum" dataDxfId="296" totalsRowDxfId="50"/>
    <tableColumn id="3" xr3:uid="{00000000-0010-0000-0800-000003000000}" name="FEB" totalsRowFunction="sum" dataDxfId="295" totalsRowDxfId="49"/>
    <tableColumn id="4" xr3:uid="{00000000-0010-0000-0800-000004000000}" name="MAR" totalsRowFunction="sum" dataDxfId="294" totalsRowDxfId="48"/>
    <tableColumn id="5" xr3:uid="{00000000-0010-0000-0800-000005000000}" name="APR" totalsRowFunction="sum" dataDxfId="293" totalsRowDxfId="47"/>
    <tableColumn id="6" xr3:uid="{00000000-0010-0000-0800-000006000000}" name="MAY" totalsRowFunction="sum" dataDxfId="292" totalsRowDxfId="46"/>
    <tableColumn id="7" xr3:uid="{00000000-0010-0000-0800-000007000000}" name="JUN" totalsRowFunction="sum" dataDxfId="291" totalsRowDxfId="45"/>
    <tableColumn id="8" xr3:uid="{00000000-0010-0000-0800-000008000000}" name="JUL" totalsRowFunction="sum" dataDxfId="290" totalsRowDxfId="44"/>
    <tableColumn id="9" xr3:uid="{00000000-0010-0000-0800-000009000000}" name="AUG" totalsRowFunction="sum" dataDxfId="289" totalsRowDxfId="43"/>
    <tableColumn id="10" xr3:uid="{00000000-0010-0000-0800-00000A000000}" name="SEP" totalsRowFunction="sum" dataDxfId="288" totalsRowDxfId="42"/>
    <tableColumn id="11" xr3:uid="{00000000-0010-0000-0800-00000B000000}" name="OCT" totalsRowFunction="sum" dataDxfId="287" totalsRowDxfId="41"/>
    <tableColumn id="12" xr3:uid="{00000000-0010-0000-0800-00000C000000}" name="NOV" totalsRowFunction="sum" dataDxfId="286" totalsRowDxfId="40"/>
    <tableColumn id="13" xr3:uid="{00000000-0010-0000-0800-00000D000000}" name="DEC" totalsRowFunction="sum" dataDxfId="285" totalsRowDxfId="39"/>
    <tableColumn id="14" xr3:uid="{00000000-0010-0000-0800-00000E000000}" name="YEAR" totalsRowFunction="sum" dataDxfId="284" totalsRowDxfId="38">
      <calculatedColumnFormula>SUM(DuesAndSubscription[[#This Row],[JAN]:[DEC]])</calculatedColumnFormula>
    </tableColumn>
    <tableColumn id="15" xr3:uid="{00000000-0010-0000-0800-00000F000000}" name="SPARKLINE" dataDxfId="283" totalsRowDxfId="37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ues and Subscription items and monthly amounts in this table. Annual amount and monthly Totals are auto calculated and sparklines are updated"/>
    </ext>
  </extLst>
</table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B79AD"/>
      </a:accent1>
      <a:accent2>
        <a:srgbClr val="1D7B7D"/>
      </a:accent2>
      <a:accent3>
        <a:srgbClr val="EF4755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3">
      <a:majorFont>
        <a:latin typeface="Gill Sans MT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O63"/>
  <sheetViews>
    <sheetView showGridLines="0" tabSelected="1" topLeftCell="A13" zoomScale="50" zoomScaleNormal="50" zoomScaleSheetLayoutView="50" workbookViewId="0">
      <selection activeCell="U61" sqref="U61"/>
    </sheetView>
  </sheetViews>
  <sheetFormatPr defaultRowHeight="30" customHeight="1" x14ac:dyDescent="0.2"/>
  <cols>
    <col min="1" max="1" width="30.625" style="8" customWidth="1"/>
    <col min="2" max="9" width="12.375" style="15" customWidth="1"/>
    <col min="10" max="10" width="15.875" style="15" customWidth="1"/>
    <col min="11" max="11" width="12.375" style="15" customWidth="1"/>
    <col min="12" max="12" width="14.875" style="15" customWidth="1"/>
    <col min="13" max="13" width="14.625" style="15" customWidth="1"/>
    <col min="14" max="14" width="14.375" style="15" customWidth="1"/>
    <col min="15" max="15" width="16.125" style="1" customWidth="1"/>
    <col min="16" max="16384" width="9" style="1"/>
  </cols>
  <sheetData>
    <row r="1" spans="1:15" ht="88.5" customHeight="1" thickTop="1" thickBot="1" x14ac:dyDescent="0.25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0" customHeight="1" thickTop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6" customFormat="1" ht="30" customHeight="1" x14ac:dyDescent="0.2">
      <c r="A3" s="4" t="s">
        <v>62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" customHeight="1" x14ac:dyDescent="0.2"/>
    <row r="5" spans="1:15" ht="39.950000000000003" customHeight="1" x14ac:dyDescent="0.2">
      <c r="A5" s="45" t="s">
        <v>44</v>
      </c>
      <c r="B5" s="50" t="s">
        <v>31</v>
      </c>
      <c r="C5" s="50" t="s">
        <v>32</v>
      </c>
      <c r="D5" s="50" t="s">
        <v>34</v>
      </c>
      <c r="E5" s="50" t="s">
        <v>35</v>
      </c>
      <c r="F5" s="50" t="s">
        <v>33</v>
      </c>
      <c r="G5" s="50" t="s">
        <v>36</v>
      </c>
      <c r="H5" s="50" t="s">
        <v>37</v>
      </c>
      <c r="I5" s="50" t="s">
        <v>38</v>
      </c>
      <c r="J5" s="50" t="s">
        <v>39</v>
      </c>
      <c r="K5" s="50" t="s">
        <v>40</v>
      </c>
      <c r="L5" s="50" t="s">
        <v>41</v>
      </c>
      <c r="M5" s="50" t="s">
        <v>42</v>
      </c>
      <c r="N5" s="50" t="s">
        <v>43</v>
      </c>
      <c r="O5" s="50" t="s">
        <v>61</v>
      </c>
    </row>
    <row r="6" spans="1:15" s="7" customFormat="1" ht="30" customHeight="1" x14ac:dyDescent="0.2">
      <c r="A6" s="30" t="s">
        <v>20</v>
      </c>
      <c r="B6" s="7" t="s">
        <v>53</v>
      </c>
      <c r="C6" s="7" t="s">
        <v>54</v>
      </c>
      <c r="D6" s="7" t="s">
        <v>47</v>
      </c>
      <c r="E6" s="7" t="s">
        <v>48</v>
      </c>
      <c r="F6" s="7" t="s">
        <v>49</v>
      </c>
      <c r="G6" s="7" t="s">
        <v>50</v>
      </c>
      <c r="H6" s="7" t="s">
        <v>51</v>
      </c>
      <c r="I6" s="7" t="s">
        <v>55</v>
      </c>
      <c r="J6" s="7" t="s">
        <v>56</v>
      </c>
      <c r="K6" s="7" t="s">
        <v>57</v>
      </c>
      <c r="L6" s="7" t="s">
        <v>58</v>
      </c>
      <c r="M6" s="7" t="s">
        <v>59</v>
      </c>
      <c r="N6" s="7" t="s">
        <v>52</v>
      </c>
      <c r="O6" s="7" t="s">
        <v>60</v>
      </c>
    </row>
    <row r="7" spans="1:15" s="19" customFormat="1" ht="30" customHeight="1" x14ac:dyDescent="0.2">
      <c r="A7" s="25" t="s">
        <v>0</v>
      </c>
      <c r="B7" s="31">
        <v>2600</v>
      </c>
      <c r="C7" s="31">
        <v>2600</v>
      </c>
      <c r="D7" s="31">
        <v>2600</v>
      </c>
      <c r="E7" s="31"/>
      <c r="F7" s="31"/>
      <c r="G7" s="31"/>
      <c r="H7" s="31"/>
      <c r="I7" s="31"/>
      <c r="J7" s="31"/>
      <c r="K7" s="31"/>
      <c r="L7" s="31"/>
      <c r="M7" s="31"/>
      <c r="N7" s="31">
        <f>SUM(Income[[#This Row],[January]:[December]])</f>
        <v>7800</v>
      </c>
      <c r="O7" s="31"/>
    </row>
    <row r="8" spans="1:15" ht="30" customHeight="1" thickBot="1" x14ac:dyDescent="0.25">
      <c r="A8" s="23" t="s">
        <v>46</v>
      </c>
      <c r="B8" s="24">
        <v>649</v>
      </c>
      <c r="C8" s="24">
        <v>313</v>
      </c>
      <c r="D8" s="24">
        <v>664</v>
      </c>
      <c r="E8" s="24"/>
      <c r="F8" s="24"/>
      <c r="G8" s="24"/>
      <c r="H8" s="24"/>
      <c r="I8" s="24"/>
      <c r="J8" s="24"/>
      <c r="K8" s="24"/>
      <c r="L8" s="24"/>
      <c r="M8" s="24"/>
      <c r="N8" s="24">
        <f>SUM(Income[[#This Row],[January]:[December]])</f>
        <v>1626</v>
      </c>
      <c r="O8" s="24"/>
    </row>
    <row r="9" spans="1:15" s="44" customFormat="1" ht="30" customHeight="1" thickTop="1" thickBot="1" x14ac:dyDescent="0.25">
      <c r="A9" s="20" t="s">
        <v>19</v>
      </c>
      <c r="B9" s="42">
        <f>SUBTOTAL(109,Income[January])</f>
        <v>3249</v>
      </c>
      <c r="C9" s="42">
        <f>SUBTOTAL(109,Income[February])</f>
        <v>2913</v>
      </c>
      <c r="D9" s="42">
        <f>SUBTOTAL(109,Income[March])</f>
        <v>3264</v>
      </c>
      <c r="E9" s="42">
        <f>SUBTOTAL(109,Income[April])</f>
        <v>0</v>
      </c>
      <c r="F9" s="42">
        <f>SUBTOTAL(109,Income[May])</f>
        <v>0</v>
      </c>
      <c r="G9" s="42">
        <f>SUBTOTAL(109,Income[June])</f>
        <v>0</v>
      </c>
      <c r="H9" s="42">
        <f>SUBTOTAL(109,Income[July])</f>
        <v>0</v>
      </c>
      <c r="I9" s="42">
        <f>SUBTOTAL(109,Income[August])</f>
        <v>0</v>
      </c>
      <c r="J9" s="42">
        <f>SUBTOTAL(109,Income[September])</f>
        <v>0</v>
      </c>
      <c r="K9" s="42">
        <f>SUBTOTAL(109,Income[October])</f>
        <v>0</v>
      </c>
      <c r="L9" s="42">
        <f>SUBTOTAL(109,Income[November])</f>
        <v>0</v>
      </c>
      <c r="M9" s="42">
        <f>SUBTOTAL(109,Income[December])</f>
        <v>0</v>
      </c>
      <c r="N9" s="42">
        <f>SUBTOTAL(109,Income[Year])</f>
        <v>9426</v>
      </c>
      <c r="O9" s="43"/>
    </row>
    <row r="10" spans="1:15" ht="18" customHeight="1" thickTop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s="9" customFormat="1" ht="39.950000000000003" customHeight="1" x14ac:dyDescent="0.2">
      <c r="A11" s="45" t="s">
        <v>21</v>
      </c>
      <c r="B11" s="50" t="s">
        <v>31</v>
      </c>
      <c r="C11" s="50" t="s">
        <v>32</v>
      </c>
      <c r="D11" s="50" t="s">
        <v>34</v>
      </c>
      <c r="E11" s="50" t="s">
        <v>35</v>
      </c>
      <c r="F11" s="50" t="s">
        <v>33</v>
      </c>
      <c r="G11" s="50" t="s">
        <v>36</v>
      </c>
      <c r="H11" s="50" t="s">
        <v>37</v>
      </c>
      <c r="I11" s="50" t="s">
        <v>38</v>
      </c>
      <c r="J11" s="50" t="s">
        <v>39</v>
      </c>
      <c r="K11" s="50" t="s">
        <v>40</v>
      </c>
      <c r="L11" s="50" t="s">
        <v>41</v>
      </c>
      <c r="M11" s="50" t="s">
        <v>42</v>
      </c>
      <c r="N11" s="50" t="s">
        <v>43</v>
      </c>
      <c r="O11" s="50" t="s">
        <v>61</v>
      </c>
    </row>
    <row r="12" spans="1:15" s="8" customFormat="1" ht="30" customHeight="1" x14ac:dyDescent="0.2">
      <c r="A12" s="30" t="s">
        <v>22</v>
      </c>
      <c r="B12" s="7" t="s">
        <v>53</v>
      </c>
      <c r="C12" s="7" t="s">
        <v>54</v>
      </c>
      <c r="D12" s="7" t="s">
        <v>47</v>
      </c>
      <c r="E12" s="7" t="s">
        <v>48</v>
      </c>
      <c r="F12" s="7" t="s">
        <v>49</v>
      </c>
      <c r="G12" s="7" t="s">
        <v>50</v>
      </c>
      <c r="H12" s="7" t="s">
        <v>51</v>
      </c>
      <c r="I12" s="7" t="s">
        <v>55</v>
      </c>
      <c r="J12" s="7" t="s">
        <v>56</v>
      </c>
      <c r="K12" s="7" t="s">
        <v>57</v>
      </c>
      <c r="L12" s="7" t="s">
        <v>58</v>
      </c>
      <c r="M12" s="7" t="s">
        <v>59</v>
      </c>
      <c r="N12" s="7" t="s">
        <v>52</v>
      </c>
      <c r="O12" s="7" t="s">
        <v>60</v>
      </c>
    </row>
    <row r="13" spans="1:15" s="19" customFormat="1" ht="30" customHeight="1" x14ac:dyDescent="0.2">
      <c r="A13" s="25" t="s">
        <v>45</v>
      </c>
      <c r="B13" s="31">
        <v>750</v>
      </c>
      <c r="C13" s="31">
        <v>750</v>
      </c>
      <c r="D13" s="31">
        <v>750</v>
      </c>
      <c r="E13" s="31"/>
      <c r="F13" s="31"/>
      <c r="G13" s="31"/>
      <c r="H13" s="31"/>
      <c r="I13" s="31"/>
      <c r="J13" s="31"/>
      <c r="K13" s="31"/>
      <c r="L13" s="31"/>
      <c r="M13" s="31"/>
      <c r="N13" s="31">
        <f>SUM(Home[[#This Row],[January]:[December]])</f>
        <v>2250</v>
      </c>
      <c r="O13" s="31"/>
    </row>
    <row r="14" spans="1:15" ht="30" customHeight="1" thickBot="1" x14ac:dyDescent="0.25">
      <c r="A14" s="23" t="s">
        <v>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>
        <f>SUM(Home[[#This Row],[January]:[December]])</f>
        <v>0</v>
      </c>
      <c r="O14" s="24"/>
    </row>
    <row r="15" spans="1:15" s="44" customFormat="1" ht="30" customHeight="1" thickTop="1" thickBot="1" x14ac:dyDescent="0.25">
      <c r="A15" s="20" t="s">
        <v>19</v>
      </c>
      <c r="B15" s="42">
        <f>SUBTOTAL(109,Home[January])</f>
        <v>750</v>
      </c>
      <c r="C15" s="42">
        <f>SUBTOTAL(109,Home[February])</f>
        <v>750</v>
      </c>
      <c r="D15" s="42">
        <f>SUBTOTAL(109,Home[March])</f>
        <v>750</v>
      </c>
      <c r="E15" s="42">
        <f>SUBTOTAL(109,Home[April])</f>
        <v>0</v>
      </c>
      <c r="F15" s="42">
        <f>SUBTOTAL(109,Home[May])</f>
        <v>0</v>
      </c>
      <c r="G15" s="42">
        <f>SUBTOTAL(109,Home[June])</f>
        <v>0</v>
      </c>
      <c r="H15" s="42">
        <f>SUBTOTAL(109,Home[July])</f>
        <v>0</v>
      </c>
      <c r="I15" s="42">
        <f>SUBTOTAL(109,Home[August])</f>
        <v>0</v>
      </c>
      <c r="J15" s="42">
        <f>SUBTOTAL(109,Home[September])</f>
        <v>0</v>
      </c>
      <c r="K15" s="42">
        <f>SUBTOTAL(109,Home[October])</f>
        <v>0</v>
      </c>
      <c r="L15" s="42">
        <f>SUBTOTAL(109,Home[November])</f>
        <v>0</v>
      </c>
      <c r="M15" s="42">
        <f>SUBTOTAL(109,Home[December])</f>
        <v>0</v>
      </c>
      <c r="N15" s="42">
        <f>SUBTOTAL(109,Home[Year])</f>
        <v>2250</v>
      </c>
      <c r="O15" s="43"/>
    </row>
    <row r="16" spans="1:15" ht="18" customHeight="1" thickTop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5" s="10" customFormat="1" ht="39.950000000000003" customHeight="1" x14ac:dyDescent="0.2">
      <c r="A17" s="46" t="s">
        <v>24</v>
      </c>
      <c r="B17" s="49" t="s">
        <v>31</v>
      </c>
      <c r="C17" s="49" t="s">
        <v>32</v>
      </c>
      <c r="D17" s="49" t="s">
        <v>34</v>
      </c>
      <c r="E17" s="49" t="s">
        <v>35</v>
      </c>
      <c r="F17" s="49" t="s">
        <v>33</v>
      </c>
      <c r="G17" s="49" t="s">
        <v>36</v>
      </c>
      <c r="H17" s="49" t="s">
        <v>37</v>
      </c>
      <c r="I17" s="49" t="s">
        <v>38</v>
      </c>
      <c r="J17" s="49" t="s">
        <v>39</v>
      </c>
      <c r="K17" s="49" t="s">
        <v>40</v>
      </c>
      <c r="L17" s="49" t="s">
        <v>41</v>
      </c>
      <c r="M17" s="49" t="s">
        <v>42</v>
      </c>
      <c r="N17" s="49" t="s">
        <v>43</v>
      </c>
      <c r="O17" s="49" t="s">
        <v>61</v>
      </c>
    </row>
    <row r="18" spans="1:15" ht="30" customHeight="1" x14ac:dyDescent="0.2">
      <c r="A18" s="23" t="s">
        <v>1</v>
      </c>
      <c r="B18" s="29">
        <v>191</v>
      </c>
      <c r="C18" s="29">
        <v>152</v>
      </c>
      <c r="D18" s="29">
        <v>145</v>
      </c>
      <c r="E18" s="29"/>
      <c r="F18" s="29"/>
      <c r="G18" s="29"/>
      <c r="H18" s="29"/>
      <c r="I18" s="29"/>
      <c r="J18" s="29"/>
      <c r="K18" s="29"/>
      <c r="L18" s="29"/>
      <c r="M18" s="29"/>
      <c r="N18" s="29">
        <f>SUM(Daily[[#This Row],[JAN]:[DEC]])</f>
        <v>488</v>
      </c>
      <c r="O18" s="29"/>
    </row>
    <row r="19" spans="1:15" s="19" customFormat="1" ht="30" customHeight="1" thickBot="1" x14ac:dyDescent="0.25">
      <c r="A19" s="25" t="s">
        <v>2</v>
      </c>
      <c r="B19" s="26">
        <v>200</v>
      </c>
      <c r="C19" s="26">
        <v>200</v>
      </c>
      <c r="D19" s="26">
        <v>200</v>
      </c>
      <c r="E19" s="26"/>
      <c r="F19" s="26"/>
      <c r="G19" s="26"/>
      <c r="H19" s="26"/>
      <c r="I19" s="26"/>
      <c r="J19" s="26"/>
      <c r="K19" s="26"/>
      <c r="L19" s="26"/>
      <c r="M19" s="26"/>
      <c r="N19" s="26">
        <f>SUM(Daily[[#This Row],[JAN]:[DEC]])</f>
        <v>600</v>
      </c>
      <c r="O19" s="26"/>
    </row>
    <row r="20" spans="1:15" s="37" customFormat="1" ht="30" customHeight="1" thickTop="1" thickBot="1" x14ac:dyDescent="0.25">
      <c r="A20" s="20" t="s">
        <v>19</v>
      </c>
      <c r="B20" s="21">
        <f>SUBTOTAL(109,Daily[JAN])</f>
        <v>391</v>
      </c>
      <c r="C20" s="21">
        <f>SUBTOTAL(109,Daily[FEB])</f>
        <v>352</v>
      </c>
      <c r="D20" s="21">
        <f>SUBTOTAL(109,Daily[MAR])</f>
        <v>345</v>
      </c>
      <c r="E20" s="21">
        <f>SUBTOTAL(109,Daily[APR])</f>
        <v>0</v>
      </c>
      <c r="F20" s="21">
        <f>SUBTOTAL(109,Daily[MAY])</f>
        <v>0</v>
      </c>
      <c r="G20" s="21">
        <f>SUBTOTAL(109,Daily[JUN])</f>
        <v>0</v>
      </c>
      <c r="H20" s="21">
        <f>SUBTOTAL(109,Daily[JUL])</f>
        <v>0</v>
      </c>
      <c r="I20" s="21">
        <f>SUBTOTAL(109,Daily[AUG])</f>
        <v>0</v>
      </c>
      <c r="J20" s="21">
        <f>SUBTOTAL(109,Daily[SEP])</f>
        <v>0</v>
      </c>
      <c r="K20" s="21">
        <f>SUBTOTAL(109,Daily[OCT])</f>
        <v>0</v>
      </c>
      <c r="L20" s="21">
        <f>SUBTOTAL(109,Daily[NOV])</f>
        <v>0</v>
      </c>
      <c r="M20" s="21">
        <f>SUBTOTAL(109,Daily[DEC])</f>
        <v>0</v>
      </c>
      <c r="N20" s="21">
        <f>SUBTOTAL(109,Daily[YEAR])</f>
        <v>1088</v>
      </c>
      <c r="O20" s="22"/>
    </row>
    <row r="21" spans="1:15" ht="18" customHeight="1" thickTop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s="10" customFormat="1" ht="39.950000000000003" customHeight="1" x14ac:dyDescent="0.2">
      <c r="A22" s="47" t="s">
        <v>23</v>
      </c>
      <c r="B22" s="49" t="s">
        <v>31</v>
      </c>
      <c r="C22" s="49" t="s">
        <v>32</v>
      </c>
      <c r="D22" s="49" t="s">
        <v>34</v>
      </c>
      <c r="E22" s="49" t="s">
        <v>35</v>
      </c>
      <c r="F22" s="49" t="s">
        <v>33</v>
      </c>
      <c r="G22" s="49" t="s">
        <v>36</v>
      </c>
      <c r="H22" s="49" t="s">
        <v>37</v>
      </c>
      <c r="I22" s="49" t="s">
        <v>38</v>
      </c>
      <c r="J22" s="49" t="s">
        <v>39</v>
      </c>
      <c r="K22" s="49" t="s">
        <v>40</v>
      </c>
      <c r="L22" s="49" t="s">
        <v>41</v>
      </c>
      <c r="M22" s="49" t="s">
        <v>42</v>
      </c>
      <c r="N22" s="49" t="s">
        <v>43</v>
      </c>
      <c r="O22" s="49" t="s">
        <v>61</v>
      </c>
    </row>
    <row r="23" spans="1:15" ht="30" customHeight="1" x14ac:dyDescent="0.2">
      <c r="A23" s="23" t="s">
        <v>3</v>
      </c>
      <c r="B23" s="28">
        <v>195</v>
      </c>
      <c r="C23" s="28">
        <v>125</v>
      </c>
      <c r="D23" s="28">
        <v>171</v>
      </c>
      <c r="E23" s="28"/>
      <c r="F23" s="28"/>
      <c r="G23" s="28"/>
      <c r="H23" s="28"/>
      <c r="I23" s="28"/>
      <c r="J23" s="28"/>
      <c r="K23" s="28"/>
      <c r="L23" s="28"/>
      <c r="M23" s="28"/>
      <c r="N23" s="28">
        <f>SUM(Transportation[[#This Row],[JAN]:[DEC]])</f>
        <v>491</v>
      </c>
      <c r="O23" s="28"/>
    </row>
    <row r="24" spans="1:15" s="19" customFormat="1" ht="30" customHeight="1" thickBot="1" x14ac:dyDescent="0.25">
      <c r="A24" s="25" t="s">
        <v>5</v>
      </c>
      <c r="B24" s="27">
        <v>20</v>
      </c>
      <c r="C24" s="27">
        <v>40</v>
      </c>
      <c r="D24" s="27">
        <v>30</v>
      </c>
      <c r="E24" s="27"/>
      <c r="F24" s="27"/>
      <c r="G24" s="27"/>
      <c r="H24" s="27"/>
      <c r="I24" s="27"/>
      <c r="J24" s="27"/>
      <c r="K24" s="27"/>
      <c r="L24" s="27"/>
      <c r="M24" s="27"/>
      <c r="N24" s="27">
        <f>SUM(Transportation[[#This Row],[JAN]:[DEC]])</f>
        <v>90</v>
      </c>
      <c r="O24" s="27"/>
    </row>
    <row r="25" spans="1:15" s="37" customFormat="1" ht="30" customHeight="1" thickTop="1" thickBot="1" x14ac:dyDescent="0.25">
      <c r="A25" s="20" t="s">
        <v>19</v>
      </c>
      <c r="B25" s="21">
        <f>SUBTOTAL(109,Transportation[JAN])</f>
        <v>215</v>
      </c>
      <c r="C25" s="21">
        <f>SUBTOTAL(109,Transportation[FEB])</f>
        <v>165</v>
      </c>
      <c r="D25" s="21">
        <f>SUBTOTAL(109,Transportation[MAR])</f>
        <v>201</v>
      </c>
      <c r="E25" s="21">
        <f>SUBTOTAL(109,Transportation[APR])</f>
        <v>0</v>
      </c>
      <c r="F25" s="21">
        <f>SUBTOTAL(109,Transportation[MAY])</f>
        <v>0</v>
      </c>
      <c r="G25" s="21">
        <f>SUBTOTAL(109,Transportation[JUN])</f>
        <v>0</v>
      </c>
      <c r="H25" s="21">
        <f>SUBTOTAL(109,Transportation[JUL])</f>
        <v>0</v>
      </c>
      <c r="I25" s="21">
        <f>SUBTOTAL(109,Transportation[AUG])</f>
        <v>0</v>
      </c>
      <c r="J25" s="21">
        <f>SUBTOTAL(109,Transportation[SEP])</f>
        <v>0</v>
      </c>
      <c r="K25" s="21">
        <f>SUBTOTAL(109,Transportation[OCT])</f>
        <v>0</v>
      </c>
      <c r="L25" s="21">
        <f>SUBTOTAL(109,Transportation[NOV])</f>
        <v>0</v>
      </c>
      <c r="M25" s="21">
        <f>SUBTOTAL(109,Transportation[DEC])</f>
        <v>0</v>
      </c>
      <c r="N25" s="21">
        <f>SUBTOTAL(109,Transportation[YEAR])</f>
        <v>581</v>
      </c>
      <c r="O25" s="22"/>
    </row>
    <row r="26" spans="1:15" s="10" customFormat="1" ht="18" customHeight="1" thickTop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"/>
    </row>
    <row r="27" spans="1:15" s="10" customFormat="1" ht="39.950000000000003" customHeight="1" x14ac:dyDescent="0.2">
      <c r="A27" s="46" t="s">
        <v>25</v>
      </c>
      <c r="B27" s="49" t="s">
        <v>31</v>
      </c>
      <c r="C27" s="49" t="s">
        <v>32</v>
      </c>
      <c r="D27" s="49" t="s">
        <v>34</v>
      </c>
      <c r="E27" s="49" t="s">
        <v>35</v>
      </c>
      <c r="F27" s="49" t="s">
        <v>33</v>
      </c>
      <c r="G27" s="49" t="s">
        <v>36</v>
      </c>
      <c r="H27" s="49" t="s">
        <v>37</v>
      </c>
      <c r="I27" s="49" t="s">
        <v>38</v>
      </c>
      <c r="J27" s="49" t="s">
        <v>39</v>
      </c>
      <c r="K27" s="49" t="s">
        <v>40</v>
      </c>
      <c r="L27" s="49" t="s">
        <v>41</v>
      </c>
      <c r="M27" s="49" t="s">
        <v>42</v>
      </c>
      <c r="N27" s="49" t="s">
        <v>43</v>
      </c>
      <c r="O27" s="49" t="s">
        <v>61</v>
      </c>
    </row>
    <row r="28" spans="1:15" ht="30" customHeight="1" thickBot="1" x14ac:dyDescent="0.25">
      <c r="A28" s="23" t="s">
        <v>6</v>
      </c>
      <c r="B28" s="28">
        <v>85</v>
      </c>
      <c r="C28" s="28">
        <v>85</v>
      </c>
      <c r="D28" s="28">
        <v>85</v>
      </c>
      <c r="E28" s="28"/>
      <c r="F28" s="28"/>
      <c r="G28" s="28"/>
      <c r="H28" s="28"/>
      <c r="I28" s="28"/>
      <c r="J28" s="28"/>
      <c r="K28" s="28"/>
      <c r="L28" s="28"/>
      <c r="M28" s="28"/>
      <c r="N28" s="28">
        <f>SUM(Entertainment[[#This Row],[JAN]:[DEC]])</f>
        <v>255</v>
      </c>
      <c r="O28" s="28"/>
    </row>
    <row r="29" spans="1:15" s="41" customFormat="1" ht="30" customHeight="1" thickTop="1" thickBot="1" x14ac:dyDescent="0.25">
      <c r="A29" s="38" t="s">
        <v>19</v>
      </c>
      <c r="B29" s="39">
        <f>SUBTOTAL(109,Entertainment[JAN])</f>
        <v>85</v>
      </c>
      <c r="C29" s="39">
        <f>SUBTOTAL(109,Entertainment[FEB])</f>
        <v>85</v>
      </c>
      <c r="D29" s="39">
        <f>SUBTOTAL(109,Entertainment[MAR])</f>
        <v>85</v>
      </c>
      <c r="E29" s="39">
        <f>SUBTOTAL(109,Entertainment[APR])</f>
        <v>0</v>
      </c>
      <c r="F29" s="39">
        <f>SUBTOTAL(109,Entertainment[MAY])</f>
        <v>0</v>
      </c>
      <c r="G29" s="39">
        <f>SUBTOTAL(109,Entertainment[JUN])</f>
        <v>0</v>
      </c>
      <c r="H29" s="39">
        <f>SUBTOTAL(109,Entertainment[JUL])</f>
        <v>0</v>
      </c>
      <c r="I29" s="39">
        <f>SUBTOTAL(109,Entertainment[AUG])</f>
        <v>0</v>
      </c>
      <c r="J29" s="39">
        <f>SUBTOTAL(109,Entertainment[SEP])</f>
        <v>0</v>
      </c>
      <c r="K29" s="39">
        <f>SUBTOTAL(109,Entertainment[OCT])</f>
        <v>0</v>
      </c>
      <c r="L29" s="39">
        <f>SUBTOTAL(109,Entertainment[NOV])</f>
        <v>0</v>
      </c>
      <c r="M29" s="39">
        <f>SUBTOTAL(109,Entertainment[DEC])</f>
        <v>0</v>
      </c>
      <c r="N29" s="39">
        <f>SUBTOTAL(109,Entertainment[YEAR])</f>
        <v>255</v>
      </c>
      <c r="O29" s="40"/>
    </row>
    <row r="30" spans="1:15" s="14" customFormat="1" ht="18" customHeight="1" thickTop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</row>
    <row r="31" spans="1:15" s="10" customFormat="1" ht="30" customHeight="1" x14ac:dyDescent="0.2">
      <c r="A31" s="46" t="s">
        <v>26</v>
      </c>
      <c r="B31" s="49" t="s">
        <v>31</v>
      </c>
      <c r="C31" s="49" t="s">
        <v>32</v>
      </c>
      <c r="D31" s="49" t="s">
        <v>34</v>
      </c>
      <c r="E31" s="49" t="s">
        <v>35</v>
      </c>
      <c r="F31" s="49" t="s">
        <v>33</v>
      </c>
      <c r="G31" s="49" t="s">
        <v>36</v>
      </c>
      <c r="H31" s="49" t="s">
        <v>37</v>
      </c>
      <c r="I31" s="49" t="s">
        <v>38</v>
      </c>
      <c r="J31" s="49" t="s">
        <v>39</v>
      </c>
      <c r="K31" s="49" t="s">
        <v>40</v>
      </c>
      <c r="L31" s="49" t="s">
        <v>41</v>
      </c>
      <c r="M31" s="49" t="s">
        <v>42</v>
      </c>
      <c r="N31" s="49" t="s">
        <v>43</v>
      </c>
      <c r="O31" s="49" t="s">
        <v>61</v>
      </c>
    </row>
    <row r="32" spans="1:15" s="19" customFormat="1" ht="30" customHeight="1" x14ac:dyDescent="0.2">
      <c r="A32" s="25" t="s">
        <v>7</v>
      </c>
      <c r="B32" s="26">
        <v>50</v>
      </c>
      <c r="C32" s="26">
        <v>50</v>
      </c>
      <c r="D32" s="26">
        <v>50</v>
      </c>
      <c r="E32" s="26"/>
      <c r="F32" s="26"/>
      <c r="G32" s="26"/>
      <c r="H32" s="26"/>
      <c r="I32" s="26"/>
      <c r="J32" s="26"/>
      <c r="K32" s="26"/>
      <c r="L32" s="26"/>
      <c r="M32" s="26"/>
      <c r="N32" s="26">
        <f>SUM(Health[[#This Row],[JAN]:[DEC]])</f>
        <v>150</v>
      </c>
      <c r="O32" s="26"/>
    </row>
    <row r="33" spans="1:15" ht="30" customHeight="1" thickBot="1" x14ac:dyDescent="0.25">
      <c r="A33" s="23" t="s">
        <v>4</v>
      </c>
      <c r="B33" s="29">
        <v>225</v>
      </c>
      <c r="C33" s="29">
        <v>225</v>
      </c>
      <c r="D33" s="29">
        <v>225</v>
      </c>
      <c r="E33" s="29"/>
      <c r="F33" s="29"/>
      <c r="G33" s="29"/>
      <c r="H33" s="29"/>
      <c r="I33" s="29"/>
      <c r="J33" s="29"/>
      <c r="K33" s="29"/>
      <c r="L33" s="29"/>
      <c r="M33" s="29"/>
      <c r="N33" s="29">
        <f>SUM(Health[[#This Row],[JAN]:[DEC]])</f>
        <v>675</v>
      </c>
      <c r="O33" s="29"/>
    </row>
    <row r="34" spans="1:15" s="19" customFormat="1" ht="30" customHeight="1" thickTop="1" thickBot="1" x14ac:dyDescent="0.25">
      <c r="A34" s="20" t="s">
        <v>19</v>
      </c>
      <c r="B34" s="21">
        <f>SUBTOTAL(109,Health[JAN])</f>
        <v>275</v>
      </c>
      <c r="C34" s="21">
        <f>SUBTOTAL(109,Health[FEB])</f>
        <v>275</v>
      </c>
      <c r="D34" s="21">
        <f>SUBTOTAL(109,Health[MAR])</f>
        <v>275</v>
      </c>
      <c r="E34" s="21">
        <f>SUBTOTAL(109,Health[APR])</f>
        <v>0</v>
      </c>
      <c r="F34" s="21">
        <f>SUBTOTAL(109,Health[MAY])</f>
        <v>0</v>
      </c>
      <c r="G34" s="21">
        <f>SUBTOTAL(109,Health[JUN])</f>
        <v>0</v>
      </c>
      <c r="H34" s="21">
        <f>SUBTOTAL(109,Health[JUL])</f>
        <v>0</v>
      </c>
      <c r="I34" s="21">
        <f>SUBTOTAL(109,Health[AUG])</f>
        <v>0</v>
      </c>
      <c r="J34" s="21">
        <f>SUBTOTAL(109,Health[SEP])</f>
        <v>0</v>
      </c>
      <c r="K34" s="21">
        <f>SUBTOTAL(109,Health[OCT])</f>
        <v>0</v>
      </c>
      <c r="L34" s="21">
        <f>SUBTOTAL(109,Health[NOV])</f>
        <v>0</v>
      </c>
      <c r="M34" s="21">
        <f>SUBTOTAL(109,Health[DEC])</f>
        <v>0</v>
      </c>
      <c r="N34" s="21">
        <f>SUBTOTAL(109,Health[YEAR])</f>
        <v>825</v>
      </c>
      <c r="O34" s="22"/>
    </row>
    <row r="35" spans="1:15" ht="18" customHeight="1" thickTop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s="2" customFormat="1" ht="30" customHeight="1" x14ac:dyDescent="0.2">
      <c r="A36" s="32" t="s">
        <v>27</v>
      </c>
      <c r="B36" s="49" t="s">
        <v>31</v>
      </c>
      <c r="C36" s="49" t="s">
        <v>32</v>
      </c>
      <c r="D36" s="49" t="s">
        <v>34</v>
      </c>
      <c r="E36" s="49" t="s">
        <v>35</v>
      </c>
      <c r="F36" s="49" t="s">
        <v>33</v>
      </c>
      <c r="G36" s="49" t="s">
        <v>36</v>
      </c>
      <c r="H36" s="49" t="s">
        <v>37</v>
      </c>
      <c r="I36" s="49" t="s">
        <v>38</v>
      </c>
      <c r="J36" s="49" t="s">
        <v>39</v>
      </c>
      <c r="K36" s="49" t="s">
        <v>40</v>
      </c>
      <c r="L36" s="49" t="s">
        <v>41</v>
      </c>
      <c r="M36" s="49" t="s">
        <v>42</v>
      </c>
      <c r="N36" s="49" t="s">
        <v>43</v>
      </c>
      <c r="O36" s="49" t="s">
        <v>61</v>
      </c>
    </row>
    <row r="37" spans="1:15" ht="30" customHeight="1" x14ac:dyDescent="0.2">
      <c r="A37" s="23" t="s">
        <v>8</v>
      </c>
      <c r="B37" s="28"/>
      <c r="C37" s="28">
        <v>485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>
        <f>SUM(Vacations[[#This Row],[JAN]:[DEC]])</f>
        <v>485</v>
      </c>
      <c r="O37" s="28"/>
    </row>
    <row r="38" spans="1:15" s="19" customFormat="1" ht="30" customHeight="1" thickBot="1" x14ac:dyDescent="0.25">
      <c r="A38" s="25" t="s">
        <v>9</v>
      </c>
      <c r="B38" s="27"/>
      <c r="C38" s="27">
        <v>85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>
        <f>SUM(Vacations[[#This Row],[JAN]:[DEC]])</f>
        <v>85</v>
      </c>
      <c r="O38" s="27"/>
    </row>
    <row r="39" spans="1:15" s="37" customFormat="1" ht="30" customHeight="1" thickTop="1" thickBot="1" x14ac:dyDescent="0.25">
      <c r="A39" s="20" t="s">
        <v>19</v>
      </c>
      <c r="B39" s="21">
        <f>SUBTOTAL(109,Vacations[JAN])</f>
        <v>0</v>
      </c>
      <c r="C39" s="21">
        <f>SUBTOTAL(109,Vacations[FEB])</f>
        <v>570</v>
      </c>
      <c r="D39" s="21">
        <f>SUBTOTAL(109,Vacations[MAR])</f>
        <v>0</v>
      </c>
      <c r="E39" s="21">
        <f>SUBTOTAL(109,Vacations[APR])</f>
        <v>0</v>
      </c>
      <c r="F39" s="21">
        <f>SUBTOTAL(109,Vacations[MAY])</f>
        <v>0</v>
      </c>
      <c r="G39" s="21">
        <f>SUBTOTAL(109,Vacations[JUN])</f>
        <v>0</v>
      </c>
      <c r="H39" s="21">
        <f>SUBTOTAL(109,Vacations[JUL])</f>
        <v>0</v>
      </c>
      <c r="I39" s="21">
        <f>SUBTOTAL(109,Vacations[AUG])</f>
        <v>0</v>
      </c>
      <c r="J39" s="21">
        <f>SUBTOTAL(109,Vacations[SEP])</f>
        <v>0</v>
      </c>
      <c r="K39" s="21">
        <f>SUBTOTAL(109,Vacations[OCT])</f>
        <v>0</v>
      </c>
      <c r="L39" s="21">
        <f>SUBTOTAL(109,Vacations[NOV])</f>
        <v>0</v>
      </c>
      <c r="M39" s="21">
        <f>SUBTOTAL(109,Vacations[DEC])</f>
        <v>0</v>
      </c>
      <c r="N39" s="21">
        <f>SUBTOTAL(109,Vacations[YEAR])</f>
        <v>570</v>
      </c>
      <c r="O39" s="22"/>
    </row>
    <row r="40" spans="1:15" ht="18" customHeight="1" thickTop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30" customHeight="1" x14ac:dyDescent="0.2">
      <c r="A41" s="46" t="s">
        <v>28</v>
      </c>
      <c r="B41" s="49" t="s">
        <v>31</v>
      </c>
      <c r="C41" s="49" t="s">
        <v>32</v>
      </c>
      <c r="D41" s="49" t="s">
        <v>34</v>
      </c>
      <c r="E41" s="49" t="s">
        <v>35</v>
      </c>
      <c r="F41" s="49" t="s">
        <v>33</v>
      </c>
      <c r="G41" s="49" t="s">
        <v>36</v>
      </c>
      <c r="H41" s="49" t="s">
        <v>37</v>
      </c>
      <c r="I41" s="49" t="s">
        <v>38</v>
      </c>
      <c r="J41" s="49" t="s">
        <v>39</v>
      </c>
      <c r="K41" s="49" t="s">
        <v>40</v>
      </c>
      <c r="L41" s="49" t="s">
        <v>41</v>
      </c>
      <c r="M41" s="49" t="s">
        <v>42</v>
      </c>
      <c r="N41" s="49" t="s">
        <v>43</v>
      </c>
      <c r="O41" s="49" t="s">
        <v>61</v>
      </c>
    </row>
    <row r="42" spans="1:15" ht="30" customHeight="1" x14ac:dyDescent="0.2">
      <c r="A42" s="23" t="s">
        <v>10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>
        <f>SUM(Recreation[[#This Row],[JAN]:[DEC]])</f>
        <v>0</v>
      </c>
      <c r="O42" s="28"/>
    </row>
    <row r="43" spans="1:15" s="19" customFormat="1" ht="30" customHeight="1" thickBot="1" x14ac:dyDescent="0.25">
      <c r="A43" s="25" t="s">
        <v>11</v>
      </c>
      <c r="B43" s="27">
        <v>39</v>
      </c>
      <c r="C43" s="27">
        <v>33</v>
      </c>
      <c r="D43" s="27">
        <v>40</v>
      </c>
      <c r="E43" s="27"/>
      <c r="F43" s="27"/>
      <c r="G43" s="27"/>
      <c r="H43" s="27"/>
      <c r="I43" s="27"/>
      <c r="J43" s="27"/>
      <c r="K43" s="27"/>
      <c r="L43" s="27"/>
      <c r="M43" s="27"/>
      <c r="N43" s="27">
        <f>SUM(Recreation[[#This Row],[JAN]:[DEC]])</f>
        <v>112</v>
      </c>
      <c r="O43" s="27"/>
    </row>
    <row r="44" spans="1:15" s="37" customFormat="1" ht="30" customHeight="1" thickTop="1" thickBot="1" x14ac:dyDescent="0.25">
      <c r="A44" s="20" t="s">
        <v>19</v>
      </c>
      <c r="B44" s="21">
        <f>SUBTOTAL(109,Recreation[JAN])</f>
        <v>39</v>
      </c>
      <c r="C44" s="21">
        <f>SUBTOTAL(109,Recreation[FEB])</f>
        <v>33</v>
      </c>
      <c r="D44" s="21">
        <f>SUBTOTAL(109,Recreation[MAR])</f>
        <v>40</v>
      </c>
      <c r="E44" s="21">
        <f>SUBTOTAL(109,Recreation[APR])</f>
        <v>0</v>
      </c>
      <c r="F44" s="21">
        <f>SUBTOTAL(109,Recreation[MAY])</f>
        <v>0</v>
      </c>
      <c r="G44" s="21">
        <f>SUBTOTAL(109,Recreation[JUN])</f>
        <v>0</v>
      </c>
      <c r="H44" s="21">
        <f>SUBTOTAL(109,Recreation[JUL])</f>
        <v>0</v>
      </c>
      <c r="I44" s="21">
        <f>SUBTOTAL(109,Recreation[AUG])</f>
        <v>0</v>
      </c>
      <c r="J44" s="21">
        <f>SUBTOTAL(109,Recreation[SEP])</f>
        <v>0</v>
      </c>
      <c r="K44" s="21">
        <f>SUBTOTAL(109,Recreation[OCT])</f>
        <v>0</v>
      </c>
      <c r="L44" s="21">
        <f>SUBTOTAL(109,Recreation[NOV])</f>
        <v>0</v>
      </c>
      <c r="M44" s="21">
        <f>SUBTOTAL(109,Recreation[DEC])</f>
        <v>0</v>
      </c>
      <c r="N44" s="21">
        <f>SUBTOTAL(109,Recreation[YEAR])</f>
        <v>112</v>
      </c>
      <c r="O44" s="22"/>
    </row>
    <row r="45" spans="1:15" ht="18" customHeight="1" thickTop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30" customHeight="1" x14ac:dyDescent="0.2">
      <c r="A46" s="48" t="s">
        <v>64</v>
      </c>
      <c r="B46" s="49" t="s">
        <v>31</v>
      </c>
      <c r="C46" s="49" t="s">
        <v>32</v>
      </c>
      <c r="D46" s="49" t="s">
        <v>34</v>
      </c>
      <c r="E46" s="49" t="s">
        <v>35</v>
      </c>
      <c r="F46" s="49" t="s">
        <v>33</v>
      </c>
      <c r="G46" s="49" t="s">
        <v>36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49" t="s">
        <v>42</v>
      </c>
      <c r="N46" s="49" t="s">
        <v>43</v>
      </c>
      <c r="O46" s="49" t="s">
        <v>61</v>
      </c>
    </row>
    <row r="47" spans="1:15" s="19" customFormat="1" ht="30" customHeight="1" x14ac:dyDescent="0.2">
      <c r="A47" s="25" t="s">
        <v>12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>
        <f>SUM(DuesAndSubscription[[#This Row],[JAN]:[DEC]])</f>
        <v>0</v>
      </c>
      <c r="O47" s="27"/>
    </row>
    <row r="48" spans="1:15" ht="30" customHeight="1" thickBot="1" x14ac:dyDescent="0.25">
      <c r="A48" s="23" t="s">
        <v>13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>
        <f>SUM(DuesAndSubscription[[#This Row],[JAN]:[DEC]])</f>
        <v>0</v>
      </c>
      <c r="O48" s="28"/>
    </row>
    <row r="49" spans="1:15" s="37" customFormat="1" ht="30" customHeight="1" thickTop="1" thickBot="1" x14ac:dyDescent="0.25">
      <c r="A49" s="33" t="s">
        <v>19</v>
      </c>
      <c r="B49" s="34">
        <f>SUBTOTAL(109,DuesAndSubscription[JAN])</f>
        <v>0</v>
      </c>
      <c r="C49" s="34">
        <f>SUBTOTAL(109,DuesAndSubscription[FEB])</f>
        <v>0</v>
      </c>
      <c r="D49" s="34">
        <f>SUBTOTAL(109,DuesAndSubscription[MAR])</f>
        <v>0</v>
      </c>
      <c r="E49" s="34">
        <f>SUBTOTAL(109,DuesAndSubscription[APR])</f>
        <v>0</v>
      </c>
      <c r="F49" s="34">
        <f>SUBTOTAL(109,DuesAndSubscription[MAY])</f>
        <v>0</v>
      </c>
      <c r="G49" s="34">
        <f>SUBTOTAL(109,DuesAndSubscription[JUN])</f>
        <v>0</v>
      </c>
      <c r="H49" s="34">
        <f>SUBTOTAL(109,DuesAndSubscription[JUL])</f>
        <v>0</v>
      </c>
      <c r="I49" s="34">
        <f>SUBTOTAL(109,DuesAndSubscription[AUG])</f>
        <v>0</v>
      </c>
      <c r="J49" s="34">
        <f>SUBTOTAL(109,DuesAndSubscription[SEP])</f>
        <v>0</v>
      </c>
      <c r="K49" s="34">
        <f>SUBTOTAL(109,DuesAndSubscription[OCT])</f>
        <v>0</v>
      </c>
      <c r="L49" s="34">
        <f>SUBTOTAL(109,DuesAndSubscription[NOV])</f>
        <v>0</v>
      </c>
      <c r="M49" s="34">
        <f>SUBTOTAL(109,DuesAndSubscription[DEC])</f>
        <v>0</v>
      </c>
      <c r="N49" s="34">
        <f>SUBTOTAL(109,DuesAndSubscription[YEAR])</f>
        <v>0</v>
      </c>
      <c r="O49" s="35"/>
    </row>
    <row r="50" spans="1:15" s="10" customFormat="1" ht="18" customHeight="1" thickTop="1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2"/>
    </row>
    <row r="51" spans="1:15" s="19" customFormat="1" ht="30" customHeight="1" x14ac:dyDescent="0.2">
      <c r="A51" s="46" t="s">
        <v>29</v>
      </c>
      <c r="B51" s="49" t="s">
        <v>31</v>
      </c>
      <c r="C51" s="49" t="s">
        <v>32</v>
      </c>
      <c r="D51" s="49" t="s">
        <v>34</v>
      </c>
      <c r="E51" s="49" t="s">
        <v>35</v>
      </c>
      <c r="F51" s="49" t="s">
        <v>33</v>
      </c>
      <c r="G51" s="49" t="s">
        <v>36</v>
      </c>
      <c r="H51" s="49" t="s">
        <v>37</v>
      </c>
      <c r="I51" s="49" t="s">
        <v>38</v>
      </c>
      <c r="J51" s="49" t="s">
        <v>39</v>
      </c>
      <c r="K51" s="49" t="s">
        <v>40</v>
      </c>
      <c r="L51" s="49" t="s">
        <v>41</v>
      </c>
      <c r="M51" s="49" t="s">
        <v>42</v>
      </c>
      <c r="N51" s="49" t="s">
        <v>43</v>
      </c>
      <c r="O51" s="49" t="s">
        <v>61</v>
      </c>
    </row>
    <row r="52" spans="1:15" s="19" customFormat="1" ht="30" customHeight="1" x14ac:dyDescent="0.2">
      <c r="A52" s="25" t="s">
        <v>14</v>
      </c>
      <c r="B52" s="27"/>
      <c r="C52" s="27">
        <v>35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>
        <f>SUM(Personal[[#This Row],[JAN]:[DEC]])</f>
        <v>35</v>
      </c>
      <c r="O52" s="27"/>
    </row>
    <row r="53" spans="1:15" ht="30" customHeight="1" thickBot="1" x14ac:dyDescent="0.25">
      <c r="A53" s="23" t="s">
        <v>15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>
        <f>SUM(Personal[[#This Row],[JAN]:[DEC]])</f>
        <v>0</v>
      </c>
      <c r="O53" s="28"/>
    </row>
    <row r="54" spans="1:15" s="36" customFormat="1" ht="30" customHeight="1" thickTop="1" thickBot="1" x14ac:dyDescent="0.25">
      <c r="A54" s="33" t="s">
        <v>19</v>
      </c>
      <c r="B54" s="34">
        <f>SUBTOTAL(109,Personal[JAN])</f>
        <v>0</v>
      </c>
      <c r="C54" s="34">
        <f>SUBTOTAL(109,Personal[FEB])</f>
        <v>35</v>
      </c>
      <c r="D54" s="34">
        <f>SUBTOTAL(109,Personal[MAR])</f>
        <v>0</v>
      </c>
      <c r="E54" s="34">
        <f>SUBTOTAL(109,Personal[APR])</f>
        <v>0</v>
      </c>
      <c r="F54" s="34">
        <f>SUBTOTAL(109,Personal[MAY])</f>
        <v>0</v>
      </c>
      <c r="G54" s="34">
        <f>SUBTOTAL(109,Personal[JUN])</f>
        <v>0</v>
      </c>
      <c r="H54" s="34">
        <f>SUBTOTAL(109,Personal[JUL])</f>
        <v>0</v>
      </c>
      <c r="I54" s="34">
        <f>SUBTOTAL(109,Personal[AUG])</f>
        <v>0</v>
      </c>
      <c r="J54" s="34">
        <f>SUBTOTAL(109,Personal[SEP])</f>
        <v>0</v>
      </c>
      <c r="K54" s="34">
        <f>SUBTOTAL(109,Personal[OCT])</f>
        <v>0</v>
      </c>
      <c r="L54" s="34">
        <f>SUBTOTAL(109,Personal[NOV])</f>
        <v>0</v>
      </c>
      <c r="M54" s="34">
        <f>SUBTOTAL(109,Personal[DEC])</f>
        <v>0</v>
      </c>
      <c r="N54" s="34">
        <f>SUBTOTAL(109,Personal[YEAR])</f>
        <v>35</v>
      </c>
      <c r="O54" s="35"/>
    </row>
    <row r="55" spans="1:15" ht="18" customHeight="1" thickTop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s="10" customFormat="1" ht="30" customHeight="1" x14ac:dyDescent="0.2">
      <c r="A56" s="46" t="s">
        <v>63</v>
      </c>
      <c r="B56" s="49" t="s">
        <v>31</v>
      </c>
      <c r="C56" s="49" t="s">
        <v>32</v>
      </c>
      <c r="D56" s="49" t="s">
        <v>34</v>
      </c>
      <c r="E56" s="49" t="s">
        <v>35</v>
      </c>
      <c r="F56" s="49" t="s">
        <v>33</v>
      </c>
      <c r="G56" s="49" t="s">
        <v>36</v>
      </c>
      <c r="H56" s="49" t="s">
        <v>37</v>
      </c>
      <c r="I56" s="49" t="s">
        <v>38</v>
      </c>
      <c r="J56" s="49" t="s">
        <v>39</v>
      </c>
      <c r="K56" s="49" t="s">
        <v>40</v>
      </c>
      <c r="L56" s="49" t="s">
        <v>41</v>
      </c>
      <c r="M56" s="49" t="s">
        <v>42</v>
      </c>
      <c r="N56" s="49" t="s">
        <v>43</v>
      </c>
      <c r="O56" s="49" t="s">
        <v>61</v>
      </c>
    </row>
    <row r="57" spans="1:15" ht="30" customHeight="1" thickBot="1" x14ac:dyDescent="0.25">
      <c r="A57" s="23" t="s">
        <v>16</v>
      </c>
      <c r="B57" s="24">
        <v>25</v>
      </c>
      <c r="C57" s="24">
        <v>25</v>
      </c>
      <c r="D57" s="24">
        <v>25</v>
      </c>
      <c r="E57" s="24"/>
      <c r="F57" s="24"/>
      <c r="G57" s="24"/>
      <c r="H57" s="24"/>
      <c r="I57" s="24"/>
      <c r="J57" s="24"/>
      <c r="K57" s="24"/>
      <c r="L57" s="24"/>
      <c r="M57" s="24"/>
      <c r="N57" s="24">
        <f>SUM(Financial[[#This Row],[JAN]:[DEC]])</f>
        <v>75</v>
      </c>
      <c r="O57" s="24"/>
    </row>
    <row r="58" spans="1:15" s="37" customFormat="1" ht="30" customHeight="1" thickTop="1" thickBot="1" x14ac:dyDescent="0.25">
      <c r="A58" s="33" t="s">
        <v>19</v>
      </c>
      <c r="B58" s="34">
        <f>SUBTOTAL(109,Financial[JAN])</f>
        <v>25</v>
      </c>
      <c r="C58" s="34">
        <f>SUBTOTAL(109,Financial[FEB])</f>
        <v>25</v>
      </c>
      <c r="D58" s="34">
        <f>SUBTOTAL(109,Financial[MAR])</f>
        <v>25</v>
      </c>
      <c r="E58" s="34">
        <f>SUBTOTAL(109,Financial[APR])</f>
        <v>0</v>
      </c>
      <c r="F58" s="34">
        <f>SUBTOTAL(109,Financial[MAY])</f>
        <v>0</v>
      </c>
      <c r="G58" s="34">
        <f>SUBTOTAL(109,Financial[JUN])</f>
        <v>0</v>
      </c>
      <c r="H58" s="34">
        <f>SUBTOTAL(109,Financial[JUL])</f>
        <v>0</v>
      </c>
      <c r="I58" s="34">
        <f>SUBTOTAL(109,Financial[AUG])</f>
        <v>0</v>
      </c>
      <c r="J58" s="34">
        <f>SUBTOTAL(109,Financial[SEP])</f>
        <v>0</v>
      </c>
      <c r="K58" s="34">
        <f>SUBTOTAL(109,Financial[OCT])</f>
        <v>0</v>
      </c>
      <c r="L58" s="34">
        <f>SUBTOTAL(109,Financial[NOV])</f>
        <v>0</v>
      </c>
      <c r="M58" s="34">
        <f>SUBTOTAL(109,Financial[DEC])</f>
        <v>0</v>
      </c>
      <c r="N58" s="34">
        <f>SUBTOTAL(109,Financial[YEAR])</f>
        <v>75</v>
      </c>
      <c r="O58" s="35"/>
    </row>
    <row r="59" spans="1:15" ht="18" customHeight="1" thickTop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45" customHeight="1" thickBot="1" x14ac:dyDescent="0.25">
      <c r="A60" s="51" t="s">
        <v>30</v>
      </c>
      <c r="B60" s="51" t="s">
        <v>31</v>
      </c>
      <c r="C60" s="51" t="s">
        <v>32</v>
      </c>
      <c r="D60" s="51" t="s">
        <v>34</v>
      </c>
      <c r="E60" s="51" t="s">
        <v>35</v>
      </c>
      <c r="F60" s="51" t="s">
        <v>33</v>
      </c>
      <c r="G60" s="51" t="s">
        <v>36</v>
      </c>
      <c r="H60" s="51" t="s">
        <v>37</v>
      </c>
      <c r="I60" s="51" t="s">
        <v>38</v>
      </c>
      <c r="J60" s="51" t="s">
        <v>39</v>
      </c>
      <c r="K60" s="51" t="s">
        <v>40</v>
      </c>
      <c r="L60" s="51" t="s">
        <v>41</v>
      </c>
      <c r="M60" s="51" t="s">
        <v>42</v>
      </c>
      <c r="N60" s="51" t="s">
        <v>43</v>
      </c>
      <c r="O60" s="51" t="s">
        <v>61</v>
      </c>
    </row>
    <row r="61" spans="1:15" ht="45" customHeight="1" thickTop="1" thickBot="1" x14ac:dyDescent="0.25">
      <c r="A61" s="52" t="s">
        <v>17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1:15" s="19" customFormat="1" ht="45" customHeight="1" thickTop="1" thickBot="1" x14ac:dyDescent="0.25">
      <c r="A62" s="54" t="s">
        <v>18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1:15" ht="30" customHeight="1" thickTop="1" x14ac:dyDescent="0.2"/>
  </sheetData>
  <mergeCells count="9">
    <mergeCell ref="A59:O59"/>
    <mergeCell ref="A1:O1"/>
    <mergeCell ref="A3:B3"/>
    <mergeCell ref="A21:O21"/>
    <mergeCell ref="A55:O55"/>
    <mergeCell ref="A45:O45"/>
    <mergeCell ref="A40:O40"/>
    <mergeCell ref="A35:O35"/>
    <mergeCell ref="C3:O3"/>
  </mergeCells>
  <conditionalFormatting sqref="B62:N62">
    <cfRule type="cellIs" dxfId="252" priority="1" operator="lessThan">
      <formula>0</formula>
    </cfRule>
  </conditionalFormatting>
  <printOptions horizontalCentered="1"/>
  <pageMargins left="0.4" right="0.4" top="0.4" bottom="0.4" header="0.3" footer="0.3"/>
  <pageSetup scale="38" orientation="portrait" r:id="rId1"/>
  <headerFooter differentFirst="1">
    <oddFooter>Page &amp;P of &amp;N</oddFooter>
  </headerFooter>
  <rowBreaks count="1" manualBreakCount="1">
    <brk id="30" max="14" man="1"/>
  </rowBreak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0000000-0003-0000-0000-000000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BUDGET'!B14:M14</xm:f>
              <xm:sqref>O14</xm:sqref>
            </x14:sparkline>
            <x14:sparkline>
              <xm:f>'PERSONAL BUDGET'!B15:M15</xm:f>
              <xm:sqref>O15</xm:sqref>
            </x14:sparkline>
          </x14:sparklines>
        </x14:sparklineGroup>
        <x14:sparklineGroup displayEmptyCellsAs="gap" high="1" low="1" xr2:uid="{00000000-0003-0000-0000-00000C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BUDGET'!B7:M7</xm:f>
              <xm:sqref>O7</xm:sqref>
            </x14:sparkline>
            <x14:sparkline>
              <xm:f>'PERSONAL BUDGET'!B8:M8</xm:f>
              <xm:sqref>O8</xm:sqref>
            </x14:sparkline>
            <x14:sparkline>
              <xm:f>'PERSONAL BUDGET'!B9:M9</xm:f>
              <xm:sqref>O9</xm:sqref>
            </x14:sparkline>
          </x14:sparklines>
        </x14:sparklineGroup>
        <x14:sparklineGroup displayEmptyCellsAs="gap" high="1" low="1" xr2:uid="{00000000-0003-0000-0000-000001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BUDGET'!B13:M13</xm:f>
              <xm:sqref>O13</xm:sqref>
            </x14:sparkline>
          </x14:sparklines>
        </x14:sparklineGroup>
        <x14:sparklineGroup displayEmptyCellsAs="gap" high="1" low="1" xr2:uid="{00000000-0003-0000-0000-000002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BUDGET'!B18:M18</xm:f>
              <xm:sqref>O18</xm:sqref>
            </x14:sparkline>
            <x14:sparkline>
              <xm:f>'PERSONAL BUDGET'!B19:M19</xm:f>
              <xm:sqref>O19</xm:sqref>
            </x14:sparkline>
            <x14:sparkline>
              <xm:f>'PERSONAL BUDGET'!B20:M20</xm:f>
              <xm:sqref>O20</xm:sqref>
            </x14:sparkline>
          </x14:sparklines>
        </x14:sparklineGroup>
        <x14:sparklineGroup displayEmptyCellsAs="gap" high="1" low="1" xr2:uid="{00000000-0003-0000-0000-000003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BUDGET'!B23:M23</xm:f>
              <xm:sqref>O23</xm:sqref>
            </x14:sparkline>
            <x14:sparkline>
              <xm:f>'PERSONAL BUDGET'!B24:M24</xm:f>
              <xm:sqref>O24</xm:sqref>
            </x14:sparkline>
            <x14:sparkline>
              <xm:f>'PERSONAL BUDGET'!B25:M25</xm:f>
              <xm:sqref>O25</xm:sqref>
            </x14:sparkline>
            <x14:sparkline>
              <xm:f>'PERSONAL BUDGET'!B26:M26</xm:f>
              <xm:sqref>O26</xm:sqref>
            </x14:sparkline>
          </x14:sparklines>
        </x14:sparklineGroup>
        <x14:sparklineGroup displayEmptyCellsAs="gap" high="1" low="1" xr2:uid="{00000000-0003-0000-0000-000004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BUDGET'!B28:M28</xm:f>
              <xm:sqref>O28</xm:sqref>
            </x14:sparkline>
            <x14:sparkline>
              <xm:f>'PERSONAL BUDGET'!B29:M29</xm:f>
              <xm:sqref>O29</xm:sqref>
            </x14:sparkline>
            <x14:sparkline>
              <xm:f>'PERSONAL BUDGET'!B30:M30</xm:f>
              <xm:sqref>O30</xm:sqref>
            </x14:sparkline>
          </x14:sparklines>
        </x14:sparklineGroup>
        <x14:sparklineGroup displayEmptyCellsAs="gap" high="1" low="1" xr2:uid="{00000000-0003-0000-0000-000005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BUDGET'!B32:M32</xm:f>
              <xm:sqref>O32</xm:sqref>
            </x14:sparkline>
            <x14:sparkline>
              <xm:f>'PERSONAL BUDGET'!B33:M33</xm:f>
              <xm:sqref>O33</xm:sqref>
            </x14:sparkline>
            <x14:sparkline>
              <xm:f>'PERSONAL BUDGET'!B34:M34</xm:f>
              <xm:sqref>O34</xm:sqref>
            </x14:sparkline>
          </x14:sparklines>
        </x14:sparklineGroup>
        <x14:sparklineGroup displayEmptyCellsAs="gap" high="1" low="1" xr2:uid="{00000000-0003-0000-0000-000006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BUDGET'!B37:M37</xm:f>
              <xm:sqref>O37</xm:sqref>
            </x14:sparkline>
            <x14:sparkline>
              <xm:f>'PERSONAL BUDGET'!B38:M38</xm:f>
              <xm:sqref>O38</xm:sqref>
            </x14:sparkline>
            <x14:sparkline>
              <xm:f>'PERSONAL BUDGET'!B39:M39</xm:f>
              <xm:sqref>O39</xm:sqref>
            </x14:sparkline>
          </x14:sparklines>
        </x14:sparklineGroup>
        <x14:sparklineGroup displayEmptyCellsAs="gap" high="1" low="1" xr2:uid="{00000000-0003-0000-0000-000007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BUDGET'!B42:M42</xm:f>
              <xm:sqref>O42</xm:sqref>
            </x14:sparkline>
            <x14:sparkline>
              <xm:f>'PERSONAL BUDGET'!B43:M43</xm:f>
              <xm:sqref>O43</xm:sqref>
            </x14:sparkline>
            <x14:sparkline>
              <xm:f>'PERSONAL BUDGET'!B44:M44</xm:f>
              <xm:sqref>O44</xm:sqref>
            </x14:sparkline>
          </x14:sparklines>
        </x14:sparklineGroup>
        <x14:sparklineGroup displayEmptyCellsAs="gap" high="1" low="1" xr2:uid="{00000000-0003-0000-0000-000008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BUDGET'!B47:M47</xm:f>
              <xm:sqref>O47</xm:sqref>
            </x14:sparkline>
            <x14:sparkline>
              <xm:f>'PERSONAL BUDGET'!B48:M48</xm:f>
              <xm:sqref>O48</xm:sqref>
            </x14:sparkline>
            <x14:sparkline>
              <xm:f>'PERSONAL BUDGET'!B49:M49</xm:f>
              <xm:sqref>O49</xm:sqref>
            </x14:sparkline>
            <x14:sparkline>
              <xm:f>'PERSONAL BUDGET'!B50:M50</xm:f>
              <xm:sqref>O50</xm:sqref>
            </x14:sparkline>
          </x14:sparklines>
        </x14:sparklineGroup>
        <x14:sparklineGroup displayEmptyCellsAs="gap" high="1" low="1" xr2:uid="{00000000-0003-0000-0000-000009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BUDGET'!B52:M52</xm:f>
              <xm:sqref>O52</xm:sqref>
            </x14:sparkline>
            <x14:sparkline>
              <xm:f>'PERSONAL BUDGET'!B53:M53</xm:f>
              <xm:sqref>O53</xm:sqref>
            </x14:sparkline>
            <x14:sparkline>
              <xm:f>'PERSONAL BUDGET'!B54:M54</xm:f>
              <xm:sqref>O54</xm:sqref>
            </x14:sparkline>
          </x14:sparklines>
        </x14:sparklineGroup>
        <x14:sparklineGroup displayEmptyCellsAs="gap" high="1" low="1" xr2:uid="{00000000-0003-0000-0000-00000A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BUDGET'!B57:M57</xm:f>
              <xm:sqref>O57</xm:sqref>
            </x14:sparkline>
            <x14:sparkline>
              <xm:f>'PERSONAL BUDGET'!B58:M58</xm:f>
              <xm:sqref>O58</xm:sqref>
            </x14:sparkline>
          </x14:sparklines>
        </x14:sparklineGroup>
        <x14:sparklineGroup displayEmptyCellsAs="gap" high="1" low="1" xr2:uid="{00000000-0003-0000-0000-00000B000000}">
          <x14:colorSeries theme="0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BUDGET'!B61:M61</xm:f>
              <xm:sqref>O61</xm:sqref>
            </x14:sparkline>
            <x14:sparkline>
              <xm:f>'PERSONAL BUDGET'!B62:M62</xm:f>
              <xm:sqref>O62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TM04035483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BUDGET</vt:lpstr>
      <vt:lpstr>'PERSONAL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</dc:creator>
  <cp:lastModifiedBy>Sunbal</cp:lastModifiedBy>
  <cp:lastPrinted>2022-10-07T09:48:30Z</cp:lastPrinted>
  <dcterms:created xsi:type="dcterms:W3CDTF">2018-06-21T11:23:21Z</dcterms:created>
  <dcterms:modified xsi:type="dcterms:W3CDTF">2022-10-07T09:48:52Z</dcterms:modified>
</cp:coreProperties>
</file>